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הוצאות ישירות\בעבודה\"/>
    </mc:Choice>
  </mc:AlternateContent>
  <bookViews>
    <workbookView xWindow="0" yWindow="0" windowWidth="28800" windowHeight="12360" tabRatio="946" firstSheet="13" activeTab="22"/>
  </bookViews>
  <sheets>
    <sheet name="נספח 1 מצרפי " sheetId="13" r:id="rId1"/>
    <sheet name="קרן י" sheetId="15" r:id="rId2"/>
    <sheet name="קרן ט" sheetId="14" r:id="rId3"/>
    <sheet name="מסלולית אגח" sheetId="1" r:id="rId4"/>
    <sheet name="מסלולית מניות" sheetId="4" r:id="rId5"/>
    <sheet name="מסלולית כללית" sheetId="6" r:id="rId6"/>
    <sheet name="הכשרה שקלי טווח קצר" sheetId="36" r:id="rId7"/>
    <sheet name="הכשרה לבני 50 ומטה" sheetId="40" r:id="rId8"/>
    <sheet name="הכשרה לבני 50-60" sheetId="41" r:id="rId9"/>
    <sheet name="הכשרה לבני 60 ומעלה" sheetId="42" r:id="rId10"/>
    <sheet name="הכשרה מקבלי קצבה" sheetId="43" r:id="rId11"/>
    <sheet name="הכשרה הלכה" sheetId="44" r:id="rId12"/>
    <sheet name="אלטשולר כללי" sheetId="19" r:id="rId13"/>
    <sheet name="אלטשולר מניות" sheetId="20" r:id="rId14"/>
    <sheet name="אלטשולר אגח" sheetId="21" r:id="rId15"/>
    <sheet name="פסגות כללי" sheetId="28" r:id="rId16"/>
    <sheet name="פסגות מניות" sheetId="29" r:id="rId17"/>
    <sheet name="פסגות אגח" sheetId="30" r:id="rId18"/>
    <sheet name="מיטב דש כללי" sheetId="33" r:id="rId19"/>
    <sheet name="מיטב דש מניות" sheetId="34" r:id="rId20"/>
    <sheet name="מיטב דש אגח" sheetId="35" r:id="rId21"/>
    <sheet name="ילין לפידות כללי " sheetId="37" r:id="rId22"/>
    <sheet name="ילין לפידות מניות " sheetId="38" r:id="rId23"/>
    <sheet name="ילין לפידות אגח " sheetId="39" r:id="rId24"/>
    <sheet name="אקסלנס נשואה פסיבי כללי" sheetId="45" r:id="rId25"/>
    <sheet name="נספח 2 " sheetId="31" r:id="rId26"/>
    <sheet name="נספח 3" sheetId="32" r:id="rId27"/>
  </sheets>
  <definedNames>
    <definedName name="_xlnm.Print_Area" localSheetId="12">'אלטשולר כללי'!$A$1:$C$34</definedName>
    <definedName name="_xlnm.Print_Area" localSheetId="0">'נספח 1 מצרפי '!$A$1:$B$32</definedName>
  </definedNames>
  <calcPr calcId="162913"/>
</workbook>
</file>

<file path=xl/calcChain.xml><?xml version="1.0" encoding="utf-8"?>
<calcChain xmlns="http://schemas.openxmlformats.org/spreadsheetml/2006/main">
  <c r="C39" i="32" l="1"/>
  <c r="C36" i="32" s="1"/>
  <c r="C45" i="32"/>
  <c r="C40" i="32" s="1"/>
  <c r="C5" i="32"/>
  <c r="C13" i="32" s="1"/>
  <c r="C22" i="32"/>
  <c r="C26" i="32"/>
  <c r="C34" i="32" s="1"/>
  <c r="C8" i="31"/>
  <c r="C14" i="31" s="1"/>
  <c r="C18" i="31"/>
  <c r="C22" i="31" s="1"/>
  <c r="C23" i="31"/>
  <c r="C25" i="31" s="1"/>
  <c r="C26" i="31"/>
  <c r="C28" i="31"/>
  <c r="A2" i="45"/>
  <c r="B7" i="45"/>
  <c r="B6" i="45"/>
  <c r="B9" i="45"/>
  <c r="B12" i="45"/>
  <c r="B22" i="45"/>
  <c r="B16" i="45" s="1"/>
  <c r="A2" i="39"/>
  <c r="B7" i="39"/>
  <c r="B6" i="39" s="1"/>
  <c r="B9" i="39"/>
  <c r="B12" i="39"/>
  <c r="B16" i="39"/>
  <c r="B30" i="39" s="1"/>
  <c r="A2" i="38"/>
  <c r="B7" i="38"/>
  <c r="B6" i="38" s="1"/>
  <c r="B9" i="38"/>
  <c r="B12" i="38"/>
  <c r="B21" i="38"/>
  <c r="B16" i="38" s="1"/>
  <c r="B30" i="38" s="1"/>
  <c r="A2" i="37"/>
  <c r="B7" i="37"/>
  <c r="B6" i="37" s="1"/>
  <c r="B9" i="37"/>
  <c r="B12" i="37"/>
  <c r="B21" i="37"/>
  <c r="B16" i="37" s="1"/>
  <c r="B30" i="37" s="1"/>
  <c r="A2" i="35"/>
  <c r="B7" i="35"/>
  <c r="B6" i="35" s="1"/>
  <c r="B9" i="35"/>
  <c r="B12" i="35"/>
  <c r="B16" i="35"/>
  <c r="B30" i="35" s="1"/>
  <c r="A2" i="34"/>
  <c r="B7" i="34"/>
  <c r="B6" i="34" s="1"/>
  <c r="B9" i="34"/>
  <c r="B12" i="34"/>
  <c r="B21" i="34"/>
  <c r="B22" i="34"/>
  <c r="B23" i="34"/>
  <c r="A2" i="33"/>
  <c r="B7" i="33"/>
  <c r="B6" i="33" s="1"/>
  <c r="B9" i="33"/>
  <c r="B12" i="33"/>
  <c r="B21" i="33"/>
  <c r="B22" i="33"/>
  <c r="A2" i="30"/>
  <c r="B7" i="30"/>
  <c r="B6" i="30" s="1"/>
  <c r="B9" i="30"/>
  <c r="B12" i="30"/>
  <c r="B16" i="30"/>
  <c r="B30" i="30" s="1"/>
  <c r="A2" i="29"/>
  <c r="B7" i="29"/>
  <c r="B6" i="29" s="1"/>
  <c r="B11" i="29"/>
  <c r="B9" i="29" s="1"/>
  <c r="B12" i="29"/>
  <c r="B21" i="29"/>
  <c r="B22" i="29"/>
  <c r="A2" i="28"/>
  <c r="B7" i="28"/>
  <c r="B6" i="28" s="1"/>
  <c r="B11" i="28"/>
  <c r="B9" i="28" s="1"/>
  <c r="B12" i="28"/>
  <c r="B21" i="28"/>
  <c r="B22" i="28"/>
  <c r="B24" i="28"/>
  <c r="A2" i="21"/>
  <c r="B7" i="21"/>
  <c r="B6" i="21" s="1"/>
  <c r="B9" i="21"/>
  <c r="B12" i="21"/>
  <c r="B16" i="21"/>
  <c r="B30" i="21" s="1"/>
  <c r="A2" i="20"/>
  <c r="B7" i="20"/>
  <c r="B6" i="20" s="1"/>
  <c r="B11" i="20"/>
  <c r="B9" i="20" s="1"/>
  <c r="B12" i="20"/>
  <c r="B22" i="20"/>
  <c r="B24" i="20"/>
  <c r="B16" i="20"/>
  <c r="B30" i="20" s="1"/>
  <c r="A2" i="19"/>
  <c r="B7" i="19"/>
  <c r="B6" i="19" s="1"/>
  <c r="B11" i="19"/>
  <c r="B9" i="19" s="1"/>
  <c r="B12" i="19"/>
  <c r="B18" i="19"/>
  <c r="B22" i="19"/>
  <c r="B24" i="19"/>
  <c r="A2" i="44"/>
  <c r="B7" i="44"/>
  <c r="B6" i="44" s="1"/>
  <c r="B9" i="44"/>
  <c r="B12" i="44"/>
  <c r="B16" i="44"/>
  <c r="B30" i="44" s="1"/>
  <c r="A2" i="43"/>
  <c r="B7" i="43"/>
  <c r="B6" i="43" s="1"/>
  <c r="B11" i="43"/>
  <c r="B9" i="43" s="1"/>
  <c r="B12" i="43"/>
  <c r="B17" i="43"/>
  <c r="B21" i="43"/>
  <c r="B22" i="43"/>
  <c r="B23" i="43"/>
  <c r="A2" i="42"/>
  <c r="B7" i="42"/>
  <c r="B6" i="42" s="1"/>
  <c r="B11" i="42"/>
  <c r="B9" i="42" s="1"/>
  <c r="B12" i="42"/>
  <c r="B17" i="42"/>
  <c r="B21" i="42"/>
  <c r="B22" i="42"/>
  <c r="B23" i="42"/>
  <c r="A2" i="41"/>
  <c r="B7" i="41"/>
  <c r="B6" i="41" s="1"/>
  <c r="B11" i="41"/>
  <c r="B9" i="41" s="1"/>
  <c r="B12" i="41"/>
  <c r="B17" i="41"/>
  <c r="B21" i="41"/>
  <c r="B22" i="41"/>
  <c r="B23" i="41"/>
  <c r="A2" i="40"/>
  <c r="B7" i="40"/>
  <c r="B6" i="40" s="1"/>
  <c r="B11" i="40"/>
  <c r="B9" i="40" s="1"/>
  <c r="B12" i="40"/>
  <c r="B17" i="40"/>
  <c r="B21" i="40"/>
  <c r="B22" i="40"/>
  <c r="B23" i="40"/>
  <c r="A2" i="36"/>
  <c r="B7" i="36"/>
  <c r="B6" i="36" s="1"/>
  <c r="B11" i="36"/>
  <c r="B9" i="36" s="1"/>
  <c r="B12" i="36"/>
  <c r="B16" i="36"/>
  <c r="B30" i="36" s="1"/>
  <c r="A2" i="6"/>
  <c r="B7" i="6"/>
  <c r="B6" i="6" s="1"/>
  <c r="B11" i="6"/>
  <c r="B9" i="6" s="1"/>
  <c r="B12" i="6"/>
  <c r="B17" i="6"/>
  <c r="B18" i="6"/>
  <c r="B21" i="6"/>
  <c r="B22" i="6"/>
  <c r="B23" i="6"/>
  <c r="B24" i="6"/>
  <c r="A2" i="4"/>
  <c r="C3" i="4"/>
  <c r="B7" i="4"/>
  <c r="B6" i="4" s="1"/>
  <c r="B11" i="4"/>
  <c r="B9" i="4" s="1"/>
  <c r="B17" i="4"/>
  <c r="B21" i="4"/>
  <c r="B22" i="4"/>
  <c r="B23" i="4"/>
  <c r="A2" i="1"/>
  <c r="B7" i="1"/>
  <c r="B6" i="1" s="1"/>
  <c r="B11" i="1"/>
  <c r="B9" i="1" s="1"/>
  <c r="C11" i="1"/>
  <c r="B22" i="1"/>
  <c r="B16" i="1" s="1"/>
  <c r="B30" i="1" s="1"/>
  <c r="A2" i="14"/>
  <c r="B7" i="14"/>
  <c r="B6" i="14" s="1"/>
  <c r="B11" i="14"/>
  <c r="B9" i="14" s="1"/>
  <c r="B17" i="14"/>
  <c r="B21" i="14"/>
  <c r="B22" i="14"/>
  <c r="B23" i="14"/>
  <c r="B24" i="14"/>
  <c r="B7" i="15"/>
  <c r="B11" i="15"/>
  <c r="B12" i="15"/>
  <c r="B17" i="15"/>
  <c r="B18" i="15"/>
  <c r="B21" i="15"/>
  <c r="B22" i="15"/>
  <c r="B23" i="15"/>
  <c r="B24" i="15"/>
  <c r="B12" i="13"/>
  <c r="B19" i="13"/>
  <c r="B20" i="13"/>
  <c r="B25" i="13"/>
  <c r="B32" i="13"/>
  <c r="C48" i="32" s="1"/>
  <c r="C46" i="32" l="1"/>
  <c r="C47" i="32" s="1"/>
  <c r="C35" i="31"/>
  <c r="B30" i="45"/>
  <c r="B28" i="45"/>
  <c r="B31" i="45" s="1"/>
  <c r="B28" i="39"/>
  <c r="B31" i="39" s="1"/>
  <c r="B28" i="38"/>
  <c r="B31" i="38" s="1"/>
  <c r="B28" i="37"/>
  <c r="B31" i="37" s="1"/>
  <c r="B28" i="35"/>
  <c r="B31" i="35" s="1"/>
  <c r="B16" i="34"/>
  <c r="B30" i="34" s="1"/>
  <c r="B16" i="33"/>
  <c r="B30" i="33" s="1"/>
  <c r="B28" i="30"/>
  <c r="B31" i="30" s="1"/>
  <c r="B16" i="29"/>
  <c r="B30" i="29" s="1"/>
  <c r="B16" i="28"/>
  <c r="B30" i="28" s="1"/>
  <c r="B28" i="21"/>
  <c r="B31" i="21" s="1"/>
  <c r="B28" i="20"/>
  <c r="B31" i="20" s="1"/>
  <c r="B16" i="19"/>
  <c r="B30" i="19" s="1"/>
  <c r="B28" i="44"/>
  <c r="B31" i="44" s="1"/>
  <c r="B16" i="43"/>
  <c r="B30" i="43" s="1"/>
  <c r="B16" i="42"/>
  <c r="B30" i="42" s="1"/>
  <c r="B28" i="42"/>
  <c r="B31" i="42" s="1"/>
  <c r="B16" i="41"/>
  <c r="B30" i="41" s="1"/>
  <c r="B16" i="40"/>
  <c r="B30" i="40" s="1"/>
  <c r="B28" i="36"/>
  <c r="B31" i="36" s="1"/>
  <c r="B16" i="6"/>
  <c r="B30" i="6" s="1"/>
  <c r="B18" i="13"/>
  <c r="B16" i="4"/>
  <c r="B30" i="4" s="1"/>
  <c r="B28" i="1"/>
  <c r="B31" i="1" s="1"/>
  <c r="B21" i="13"/>
  <c r="B17" i="13"/>
  <c r="B16" i="14"/>
  <c r="B30" i="14" s="1"/>
  <c r="B28" i="14"/>
  <c r="B31" i="14" s="1"/>
  <c r="B24" i="13"/>
  <c r="B11" i="13"/>
  <c r="B9" i="13" s="1"/>
  <c r="B23" i="13"/>
  <c r="B7" i="13"/>
  <c r="B6" i="13" s="1"/>
  <c r="B22" i="13"/>
  <c r="B6" i="15"/>
  <c r="B16" i="15"/>
  <c r="B30" i="15" s="1"/>
  <c r="C36" i="31"/>
  <c r="B9" i="15"/>
  <c r="B28" i="34" l="1"/>
  <c r="B31" i="34" s="1"/>
  <c r="B28" i="33"/>
  <c r="B31" i="33" s="1"/>
  <c r="B28" i="29"/>
  <c r="B31" i="29" s="1"/>
  <c r="B28" i="28"/>
  <c r="B31" i="28" s="1"/>
  <c r="B28" i="19"/>
  <c r="B31" i="19" s="1"/>
  <c r="B28" i="43"/>
  <c r="B31" i="43" s="1"/>
  <c r="B28" i="41"/>
  <c r="B31" i="41" s="1"/>
  <c r="B28" i="40"/>
  <c r="B31" i="40" s="1"/>
  <c r="B28" i="6"/>
  <c r="B31" i="6" s="1"/>
  <c r="B28" i="4"/>
  <c r="B31" i="4" s="1"/>
  <c r="B16" i="13"/>
  <c r="B30" i="13" s="1"/>
  <c r="B28" i="15"/>
  <c r="B31" i="15" s="1"/>
  <c r="B28" i="13" l="1"/>
  <c r="B31" i="13" s="1"/>
</calcChain>
</file>

<file path=xl/sharedStrings.xml><?xml version="1.0" encoding="utf-8"?>
<sst xmlns="http://schemas.openxmlformats.org/spreadsheetml/2006/main" count="890" uniqueCount="126">
  <si>
    <t xml:space="preserve">אלפי ₪ </t>
  </si>
  <si>
    <t>סך עמלות קסטודיאן לצדדים קשורים</t>
  </si>
  <si>
    <t>סך עמלות קסטודיאן לצדדים שאינם קשורים</t>
  </si>
  <si>
    <t>סך תשלומים הנובעים מהשקעה בקרנות השקעה</t>
  </si>
  <si>
    <t>סך תשלומים בגין השקעה בקרנות נאמנות ישראליות</t>
  </si>
  <si>
    <t>שם חברת הביטוח: הכשרה חברה לביטוח - משתתפות ברווחים</t>
  </si>
  <si>
    <t>ברוקראז'- עמלות קניה ומכירה בגין עיסקאות בניירות ערך סחירים</t>
  </si>
  <si>
    <t>צדדים קשורים</t>
  </si>
  <si>
    <t>1</t>
  </si>
  <si>
    <t>אחרים</t>
  </si>
  <si>
    <t>צדדים שאינם קשורים</t>
  </si>
  <si>
    <t>2</t>
  </si>
  <si>
    <t>3</t>
  </si>
  <si>
    <t>סך עמלות ברוקראז'</t>
  </si>
  <si>
    <t>עמלות קסטודיאן</t>
  </si>
  <si>
    <t>4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</si>
  <si>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</si>
  <si>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</si>
  <si>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</si>
  <si>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</si>
  <si>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סך הכל עמלות והוצאות</t>
  </si>
  <si>
    <t>תשלום הנובע מהשקעה בקרנות השקעה</t>
  </si>
  <si>
    <t>תשלום למנהל תיקים ישראלי</t>
  </si>
  <si>
    <t>סך תשלומים למנהל תיקים ישראלי</t>
  </si>
  <si>
    <t>תשלום למנהל תיקים זר</t>
  </si>
  <si>
    <t>סך תשלומים למנהלי תיקים זרים</t>
  </si>
  <si>
    <t>תשלום בגין השקעה בקרן נאמנות</t>
  </si>
  <si>
    <t>א.</t>
  </si>
  <si>
    <t>קרן נאמנות ישראלית</t>
  </si>
  <si>
    <t>ב.</t>
  </si>
  <si>
    <t>סך הכל עמלות ניהול חיצוני</t>
  </si>
  <si>
    <t>שם חברת הביטוח: הכשרה חברה לביטוח - מסלולית אגח</t>
  </si>
  <si>
    <t>שם חברת הביטוח: הכשרה חברה לביטוח - מסלולית מניות</t>
  </si>
  <si>
    <t>שם חברת הביטוח: הכשרה חברה לביטוח - מסלולית כללית</t>
  </si>
  <si>
    <t>שם חברת הביטוח: הכשרה חברה לביטוח - קרן ט'</t>
  </si>
  <si>
    <t>שם חברת הביטוח: הכשרה חברה לביטוח - קרן י'</t>
  </si>
  <si>
    <t xml:space="preserve">נספח 1 - סך התשלומים ששולמו בגין כל סוג הוצאה ישירה לשנה המסתיימת </t>
  </si>
  <si>
    <t>נספח 2 - פירוט עמלות והוצאות לשנה המסתיימת ביום</t>
  </si>
  <si>
    <t>נספח 3- פירוט עמלות ניהול חיצוני לשנה מסתיימת ביום:</t>
  </si>
  <si>
    <t>שם חברת הביטוח: הכשרה חברה לביטוח - בסט אינווסט אלטשולר שחם כללי</t>
  </si>
  <si>
    <t>שם חברת הביטוח: הכשרה חברה לביטוח - בסט אינווסט אלטשולר שחם מניות</t>
  </si>
  <si>
    <t>שם חברת הביטוח: הכשרה חברה לביטוח - בסט אינווסט אלטשולר שחם אגח</t>
  </si>
  <si>
    <t>שם חברת הביטוח: הכשרה חברה לביטוח - בסט אינווסט פסגות כללי</t>
  </si>
  <si>
    <t>שם חברת הביטוח: הכשרה חברה לביטוח - בסט אינווסט פסגות מניות</t>
  </si>
  <si>
    <t>שם חברת הביטוח: הכשרה חברה לביטוח - בסט אינווסט פסגות אגח</t>
  </si>
  <si>
    <t>קרן להב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</si>
  <si>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</si>
  <si>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</si>
  <si>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ישראליים בגין השקעה בחו"ל</t>
  </si>
  <si>
    <t>סך התשלומים בתעודות סל ישראליות</t>
  </si>
  <si>
    <t>סך התשלומים בתעודות סל זרות</t>
  </si>
  <si>
    <t>סך תשלומים בגין השקעה בקרנות נאמנות זרות</t>
  </si>
  <si>
    <t xml:space="preserve"> 1.סה"כ עמלות קנייה ומכירה</t>
  </si>
  <si>
    <t>2. סה"כ עמלות קסטודיאן</t>
  </si>
  <si>
    <t>3. סה"כ מהשקעות לא סחירות</t>
  </si>
  <si>
    <t>4. עמלות ניהול חיצוני</t>
  </si>
  <si>
    <t>5. סה"כ הוצאות אחרות</t>
  </si>
  <si>
    <t>ב. סך הוצאות הנובעות ממימון פרוייקטים לתשתיות</t>
  </si>
  <si>
    <t>ג. סך הוצאות הנובעות מהשקעה בזכויות מקרקעין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</si>
  <si>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</si>
  <si>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</si>
  <si>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</si>
  <si>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</si>
  <si>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ב. שיעור סך הוצאות ישירות מסך נכסים לסוף שנה קודמת (באחוזים)</t>
  </si>
  <si>
    <t>סך נכסים לסוף שנה קודמת</t>
  </si>
  <si>
    <t>הוצאה הנובעת בעד ניהול תביעה או תובענה</t>
  </si>
  <si>
    <t>סך ההוצאות הנובעות בעד ניהול תביעה או תובענה</t>
  </si>
  <si>
    <t>הוצאה הנובעת ממתן משכנתא</t>
  </si>
  <si>
    <t>סך הוצאות בעד מתן משכנתאות</t>
  </si>
  <si>
    <t>סך נכסים לסוף תקופה קודמת</t>
  </si>
  <si>
    <t>סך תשלומים בגין השקעה בקרנות נאמנות</t>
  </si>
  <si>
    <t xml:space="preserve">תשלומים בתעודות סל </t>
  </si>
  <si>
    <t>תעודות סל ישראליות</t>
  </si>
  <si>
    <t>תעודות סל זרות</t>
  </si>
  <si>
    <t>סך תשלומים בגין השקעה בתעודות סל</t>
  </si>
  <si>
    <t>א. שיעור סך ההוצאות הישירות, שההוצאה בגינן מוגבלת לשיעור של 0.25% לפי 
התקנות (סיכום סעיפים 3א,5,4ב חלקי סך הנכסים)</t>
  </si>
  <si>
    <t>שם חברת הביטוח: הכשרה חברה לביטוח - בסט אינווסט מיטב דש כללי</t>
  </si>
  <si>
    <t>שם חברת הביטוח: הכשרה חברה לביטוח - בסט אינווסט מיטב דש מניות</t>
  </si>
  <si>
    <t>שם חברת הביטוח: הכשרה חברה לביטוח - בסט אינווסט מיטב דש אגח</t>
  </si>
  <si>
    <t>א. סך הוצאות הנובעות מהשקעה בניירות ערך לא סחירים שאינם לצורך מימון פרויקטים לתשתיות</t>
  </si>
  <si>
    <t>קרן חוץ</t>
  </si>
  <si>
    <t>מזרחי</t>
  </si>
  <si>
    <t>פסגות</t>
  </si>
  <si>
    <t>WISDOM TREE</t>
  </si>
  <si>
    <t>סך עמלות קניה ומכירה לצדדים שאינם קשורים</t>
  </si>
  <si>
    <t>סך עמלות קניה ומכירה לצדדים קשורים</t>
  </si>
  <si>
    <t>PICTET</t>
  </si>
  <si>
    <t>5</t>
  </si>
  <si>
    <t>א. שיעור סך ההוצאות הישירות, שההוצאה בגינן מוגבלת לשיעור של 0.25% לפי 
התקנות (סיכום סעיפים 3א,4, 5ב חלקי סך הנכסים)</t>
  </si>
  <si>
    <t>קרן להב 2</t>
  </si>
  <si>
    <t>שם חברת הביטוח: הכשרה חברה לביטוח - בסט אינווסט ילין אגח</t>
  </si>
  <si>
    <t>שם חברת הביטוח: הכשרה חברה לביטוח - בסט אינווסט ילין מניות</t>
  </si>
  <si>
    <t>שם חברת הביטוח: הכשרה חברה לביטוח - בסט אינווסט ילין כללי</t>
  </si>
  <si>
    <t>שם חברת הביטוח: הכשרה חברה לביטוח - בסט אינווסט הכשרה שקלי טווח קצר</t>
  </si>
  <si>
    <t>שם חברת הביטוח: הכשרה חברה לביטוח - בסט אינווסט הכשרה לבני 50 ומטה</t>
  </si>
  <si>
    <t xml:space="preserve">שם חברת הביטוח: הכשרה חברה לביטוח - בסט אינווסט הכשרה לבני 50-60 </t>
  </si>
  <si>
    <t>שם חברת הביטוח: הכשרה חברה לביטוח - בסט אינווסט הכשרה לבני 60 ומעלה</t>
  </si>
  <si>
    <t>שם חברת הביטוח: הכשרה חברה לביטוח - בסט אינווסט הכשרה מקבלי קצבה</t>
  </si>
  <si>
    <t>שם חברת הביטוח: הכשרה חברה לביטוח - בסט אינווסט הכשרה הלכה</t>
  </si>
  <si>
    <t>BLACK ROCK (ISHARES)</t>
  </si>
  <si>
    <t>הראל</t>
  </si>
  <si>
    <t>מגדל קרנות נאמנות</t>
  </si>
  <si>
    <t>לאומי</t>
  </si>
  <si>
    <t>אקסלנס</t>
  </si>
  <si>
    <t>שם חברת הביטוח: הכשרה חברה לביטוח - אקסלנס נשואה פסיבי כללי</t>
  </si>
  <si>
    <t>31.12.17</t>
  </si>
  <si>
    <t>KOTAK</t>
  </si>
  <si>
    <t>COMGEST</t>
  </si>
  <si>
    <t>מיטב דש</t>
  </si>
  <si>
    <t>פימי 6</t>
  </si>
  <si>
    <t>שקד</t>
  </si>
  <si>
    <t>מיילסטון</t>
  </si>
  <si>
    <t>ביום ה-31.12.18</t>
  </si>
  <si>
    <t>ביום ה- 31.12.18</t>
  </si>
  <si>
    <t>SUMI</t>
  </si>
  <si>
    <t>AVALORN</t>
  </si>
  <si>
    <t>6</t>
  </si>
  <si>
    <t>7</t>
  </si>
  <si>
    <t>ISHARES</t>
  </si>
  <si>
    <t>FIRST TIME</t>
  </si>
  <si>
    <t>GEMWAY ASSETS</t>
  </si>
  <si>
    <t>יוליוס בר</t>
  </si>
  <si>
    <t>איי.בי.איי קרנות נאמנות</t>
  </si>
  <si>
    <t>STATE STREET</t>
  </si>
  <si>
    <t>עמודה1</t>
  </si>
  <si>
    <t>עמודה2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</si>
</sst>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0.000%"/>
  </numFmts>
  <fonts count="9" x14ac:knownFonts="1">
    <font>
      <sz val="10"/>
      <name val="Arial"/>
      <charset val="177"/>
    </font>
    <font>
      <sz val="10"/>
      <name val="Arial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2" borderId="1" xfId="0" applyFont="1" applyFill="1" applyBorder="1"/>
    <xf numFmtId="0" fontId="3" fillId="2" borderId="2" xfId="0" applyFont="1" applyFill="1" applyBorder="1"/>
    <xf numFmtId="0" fontId="0" fillId="0" borderId="0" xfId="0" applyAlignment="1">
      <alignment horizontal="center"/>
    </xf>
    <xf numFmtId="0" fontId="6" fillId="0" borderId="0" xfId="0" applyFont="1" applyFill="1"/>
    <xf numFmtId="0" fontId="0" fillId="0" borderId="0" xfId="0" applyFill="1"/>
    <xf numFmtId="165" fontId="0" fillId="0" borderId="0" xfId="0" applyNumberFormat="1"/>
    <xf numFmtId="0" fontId="3" fillId="0" borderId="0" xfId="3" applyFont="1"/>
    <xf numFmtId="0" fontId="3" fillId="0" borderId="0" xfId="3" applyFont="1" applyAlignment="1">
      <alignment horizontal="centerContinuous"/>
    </xf>
    <xf numFmtId="0" fontId="4" fillId="0" borderId="0" xfId="3"/>
    <xf numFmtId="0" fontId="4" fillId="0" borderId="0" xfId="3" applyFill="1"/>
    <xf numFmtId="0" fontId="3" fillId="2" borderId="1" xfId="3" applyFont="1" applyFill="1" applyBorder="1"/>
    <xf numFmtId="0" fontId="4" fillId="2" borderId="4" xfId="3" applyFill="1" applyBorder="1"/>
    <xf numFmtId="0" fontId="4" fillId="2" borderId="2" xfId="3" applyFill="1" applyBorder="1"/>
    <xf numFmtId="0" fontId="4" fillId="2" borderId="1" xfId="3" applyFill="1" applyBorder="1"/>
    <xf numFmtId="49" fontId="4" fillId="2" borderId="5" xfId="3" applyNumberFormat="1" applyFill="1" applyBorder="1" applyAlignment="1">
      <alignment horizontal="center" readingOrder="2"/>
    </xf>
    <xf numFmtId="0" fontId="4" fillId="2" borderId="1" xfId="3" applyFont="1" applyFill="1" applyBorder="1"/>
    <xf numFmtId="0" fontId="4" fillId="2" borderId="0" xfId="3" applyFill="1"/>
    <xf numFmtId="0" fontId="4" fillId="2" borderId="6" xfId="3" applyFont="1" applyFill="1" applyBorder="1"/>
    <xf numFmtId="0" fontId="4" fillId="2" borderId="7" xfId="3" applyFont="1" applyFill="1" applyBorder="1"/>
    <xf numFmtId="0" fontId="3" fillId="2" borderId="4" xfId="3" applyFont="1" applyFill="1" applyBorder="1"/>
    <xf numFmtId="0" fontId="4" fillId="2" borderId="6" xfId="3" applyFill="1" applyBorder="1"/>
    <xf numFmtId="49" fontId="4" fillId="2" borderId="8" xfId="3" applyNumberFormat="1" applyFill="1" applyBorder="1" applyAlignment="1">
      <alignment horizontal="center" readingOrder="2"/>
    </xf>
    <xf numFmtId="0" fontId="4" fillId="2" borderId="10" xfId="3" applyFont="1" applyFill="1" applyBorder="1" applyAlignment="1">
      <alignment horizontal="right"/>
    </xf>
    <xf numFmtId="0" fontId="4" fillId="2" borderId="10" xfId="3" applyFont="1" applyFill="1" applyBorder="1"/>
    <xf numFmtId="0" fontId="3" fillId="2" borderId="8" xfId="3" applyFont="1" applyFill="1" applyBorder="1"/>
    <xf numFmtId="0" fontId="4" fillId="2" borderId="10" xfId="3" applyFill="1" applyBorder="1"/>
    <xf numFmtId="0" fontId="3" fillId="2" borderId="5" xfId="3" applyFont="1" applyFill="1" applyBorder="1"/>
    <xf numFmtId="0" fontId="3" fillId="2" borderId="10" xfId="3" applyFont="1" applyFill="1" applyBorder="1"/>
    <xf numFmtId="49" fontId="4" fillId="2" borderId="8" xfId="3" applyNumberFormat="1" applyFont="1" applyFill="1" applyBorder="1" applyAlignment="1">
      <alignment horizontal="center" readingOrder="2"/>
    </xf>
    <xf numFmtId="0" fontId="3" fillId="2" borderId="9" xfId="3" applyFont="1" applyFill="1" applyBorder="1"/>
    <xf numFmtId="0" fontId="4" fillId="2" borderId="7" xfId="3" applyFill="1" applyBorder="1"/>
    <xf numFmtId="49" fontId="4" fillId="2" borderId="9" xfId="3" applyNumberFormat="1" applyFill="1" applyBorder="1" applyAlignment="1">
      <alignment horizontal="center" readingOrder="2"/>
    </xf>
    <xf numFmtId="0" fontId="3" fillId="2" borderId="8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right"/>
    </xf>
    <xf numFmtId="0" fontId="4" fillId="2" borderId="7" xfId="3" applyFont="1" applyFill="1" applyBorder="1" applyAlignment="1">
      <alignment horizontal="right"/>
    </xf>
    <xf numFmtId="0" fontId="3" fillId="2" borderId="3" xfId="0" applyFont="1" applyFill="1" applyBorder="1" applyAlignment="1">
      <alignment horizontal="right" readingOrder="2"/>
    </xf>
    <xf numFmtId="0" fontId="4" fillId="2" borderId="1" xfId="0" applyFont="1" applyFill="1" applyBorder="1"/>
    <xf numFmtId="0" fontId="3" fillId="2" borderId="0" xfId="0" applyFont="1" applyFill="1" applyAlignment="1">
      <alignment horizontal="right" readingOrder="2"/>
    </xf>
    <xf numFmtId="0" fontId="4" fillId="2" borderId="2" xfId="0" applyFont="1" applyFill="1" applyBorder="1"/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wrapText="1"/>
    </xf>
    <xf numFmtId="165" fontId="4" fillId="0" borderId="0" xfId="0" applyNumberFormat="1" applyFont="1"/>
    <xf numFmtId="0" fontId="4" fillId="2" borderId="1" xfId="3" applyFont="1" applyFill="1" applyBorder="1" applyAlignment="1">
      <alignment horizontal="center"/>
    </xf>
    <xf numFmtId="0" fontId="3" fillId="2" borderId="2" xfId="3" applyFont="1" applyFill="1" applyBorder="1"/>
    <xf numFmtId="49" fontId="4" fillId="2" borderId="2" xfId="3" applyNumberFormat="1" applyFill="1" applyBorder="1" applyAlignment="1">
      <alignment horizontal="center" readingOrder="2"/>
    </xf>
    <xf numFmtId="0" fontId="3" fillId="2" borderId="5" xfId="0" applyFont="1" applyFill="1" applyBorder="1"/>
    <xf numFmtId="0" fontId="4" fillId="2" borderId="8" xfId="3" applyFill="1" applyBorder="1" applyAlignment="1">
      <alignment horizontal="center"/>
    </xf>
    <xf numFmtId="0" fontId="4" fillId="2" borderId="2" xfId="3" applyFont="1" applyFill="1" applyBorder="1"/>
    <xf numFmtId="0" fontId="4" fillId="2" borderId="2" xfId="3" applyFont="1" applyFill="1" applyBorder="1" applyAlignment="1">
      <alignment horizontal="right"/>
    </xf>
    <xf numFmtId="0" fontId="8" fillId="0" borderId="0" xfId="3" applyFont="1" applyFill="1" applyBorder="1" applyAlignment="1">
      <alignment horizontal="right"/>
    </xf>
    <xf numFmtId="0" fontId="8" fillId="0" borderId="0" xfId="0" applyFont="1"/>
    <xf numFmtId="0" fontId="4" fillId="0" borderId="0" xfId="0" applyFont="1"/>
    <xf numFmtId="164" fontId="0" fillId="0" borderId="0" xfId="0" applyNumberFormat="1" applyFill="1"/>
    <xf numFmtId="49" fontId="4" fillId="2" borderId="11" xfId="3" applyNumberFormat="1" applyFill="1" applyBorder="1" applyAlignment="1">
      <alignment horizontal="center" readingOrder="2"/>
    </xf>
    <xf numFmtId="0" fontId="4" fillId="2" borderId="5" xfId="3" applyFont="1" applyFill="1" applyBorder="1" applyAlignment="1">
      <alignment horizontal="right"/>
    </xf>
    <xf numFmtId="165" fontId="3" fillId="2" borderId="9" xfId="0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0" fontId="4" fillId="3" borderId="4" xfId="4" applyNumberFormat="1" applyFont="1" applyFill="1" applyBorder="1" applyAlignment="1">
      <alignment horizontal="center"/>
    </xf>
    <xf numFmtId="165" fontId="4" fillId="3" borderId="8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6" fontId="4" fillId="3" borderId="4" xfId="4" applyNumberFormat="1" applyFont="1" applyFill="1" applyBorder="1" applyAlignment="1">
      <alignment horizontal="center"/>
    </xf>
    <xf numFmtId="165" fontId="4" fillId="2" borderId="4" xfId="3" applyNumberFormat="1" applyFill="1" applyBorder="1"/>
    <xf numFmtId="165" fontId="4" fillId="2" borderId="9" xfId="2" applyNumberFormat="1" applyFont="1" applyFill="1" applyBorder="1"/>
    <xf numFmtId="165" fontId="4" fillId="3" borderId="4" xfId="2" applyNumberFormat="1" applyFont="1" applyFill="1" applyBorder="1"/>
    <xf numFmtId="165" fontId="4" fillId="2" borderId="4" xfId="2" applyNumberFormat="1" applyFont="1" applyFill="1" applyBorder="1"/>
    <xf numFmtId="165" fontId="5" fillId="3" borderId="4" xfId="2" applyNumberFormat="1" applyFont="1" applyFill="1" applyBorder="1" applyAlignment="1" applyProtection="1">
      <alignment horizontal="right"/>
      <protection locked="0"/>
    </xf>
    <xf numFmtId="165" fontId="7" fillId="3" borderId="4" xfId="2" applyNumberFormat="1" applyFont="1" applyFill="1" applyBorder="1" applyAlignment="1" applyProtection="1">
      <alignment horizontal="right"/>
      <protection locked="0"/>
    </xf>
    <xf numFmtId="165" fontId="3" fillId="3" borderId="1" xfId="2" applyNumberFormat="1" applyFont="1" applyFill="1" applyBorder="1"/>
    <xf numFmtId="165" fontId="3" fillId="3" borderId="4" xfId="2" applyNumberFormat="1" applyFont="1" applyFill="1" applyBorder="1"/>
    <xf numFmtId="0" fontId="4" fillId="2" borderId="5" xfId="3" applyFont="1" applyFill="1" applyBorder="1"/>
    <xf numFmtId="165" fontId="4" fillId="3" borderId="8" xfId="2" applyNumberFormat="1" applyFont="1" applyFill="1" applyBorder="1"/>
    <xf numFmtId="0" fontId="3" fillId="2" borderId="9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165" fontId="4" fillId="2" borderId="1" xfId="3" applyNumberFormat="1" applyFill="1" applyBorder="1"/>
    <xf numFmtId="165" fontId="0" fillId="3" borderId="1" xfId="2" applyNumberFormat="1" applyFont="1" applyFill="1" applyBorder="1"/>
    <xf numFmtId="165" fontId="3" fillId="0" borderId="1" xfId="2" applyNumberFormat="1" applyFont="1" applyFill="1" applyBorder="1"/>
    <xf numFmtId="165" fontId="0" fillId="2" borderId="1" xfId="2" applyNumberFormat="1" applyFont="1" applyFill="1" applyBorder="1"/>
    <xf numFmtId="165" fontId="4" fillId="3" borderId="1" xfId="2" applyNumberFormat="1" applyFont="1" applyFill="1" applyBorder="1"/>
    <xf numFmtId="165" fontId="3" fillId="4" borderId="1" xfId="2" applyNumberFormat="1" applyFont="1" applyFill="1" applyBorder="1"/>
    <xf numFmtId="165" fontId="0" fillId="3" borderId="3" xfId="2" applyNumberFormat="1" applyFont="1" applyFill="1" applyBorder="1"/>
    <xf numFmtId="0" fontId="3" fillId="2" borderId="11" xfId="3" applyFont="1" applyFill="1" applyBorder="1"/>
    <xf numFmtId="0" fontId="4" fillId="2" borderId="12" xfId="3" applyFill="1" applyBorder="1"/>
    <xf numFmtId="165" fontId="0" fillId="3" borderId="5" xfId="2" applyNumberFormat="1" applyFont="1" applyFill="1" applyBorder="1"/>
    <xf numFmtId="0" fontId="3" fillId="2" borderId="11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/>
    </xf>
  </cellXfs>
  <cellStyles count="6">
    <cellStyle name="Comma" xfId="1" builtinId="3"/>
    <cellStyle name="Comma 2" xfId="2"/>
    <cellStyle name="Normal" xfId="0" builtinId="0"/>
    <cellStyle name="Normal 2" xfId="3"/>
    <cellStyle name="Percent" xfId="4" builtinId="5"/>
    <cellStyle name="Percent 2" xfId="5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indexed="22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טבלה1" displayName="טבלה1" ref="A5:B32" totalsRowShown="0" tableBorderDxfId="57">
  <autoFilter ref="A5:B32">
    <filterColumn colId="0" hiddenButton="1"/>
    <filterColumn colId="1" hiddenButton="1"/>
  </autoFilter>
  <tableColumns count="2">
    <tableColumn id="1" name="עמודה1"/>
    <tableColumn id="2" name="אלפי ₪ " dataDxfId="5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2018"/>
    </ext>
  </extLst>
</table>
</file>

<file path=xl/tables/table10.xml><?xml version="1.0" encoding="utf-8"?>
<table xmlns="http://schemas.openxmlformats.org/spreadsheetml/2006/main" id="10" name="טבלה10" displayName="טבלה10" ref="A5:B32" totalsRowShown="0" tableBorderDxfId="39">
  <autoFilter ref="A5:B32">
    <filterColumn colId="0" hiddenButton="1"/>
    <filterColumn colId="1" hiddenButton="1"/>
  </autoFilter>
  <tableColumns count="2">
    <tableColumn id="1" name="עמודה1"/>
    <tableColumn id="2" name="אלפי ₪ " dataDxfId="3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1.xml><?xml version="1.0" encoding="utf-8"?>
<table xmlns="http://schemas.openxmlformats.org/spreadsheetml/2006/main" id="11" name="טבלה11" displayName="טבלה11" ref="A5:B32" totalsRowShown="0" tableBorderDxfId="37">
  <autoFilter ref="A5:B32">
    <filterColumn colId="0" hiddenButton="1"/>
    <filterColumn colId="1" hiddenButton="1"/>
  </autoFilter>
  <tableColumns count="2">
    <tableColumn id="1" name="עמודה1"/>
    <tableColumn id="2" name="אלפי ₪ " dataDxfId="3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2.xml><?xml version="1.0" encoding="utf-8"?>
<table xmlns="http://schemas.openxmlformats.org/spreadsheetml/2006/main" id="12" name="טבלה12" displayName="טבלה12" ref="A5:B32" totalsRowShown="0" tableBorderDxfId="35">
  <autoFilter ref="A5:B32">
    <filterColumn colId="0" hiddenButton="1"/>
    <filterColumn colId="1" hiddenButton="1"/>
  </autoFilter>
  <tableColumns count="2">
    <tableColumn id="1" name="עמודה1"/>
    <tableColumn id="2" name="אלפי ₪ " dataDxfId="3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3.xml><?xml version="1.0" encoding="utf-8"?>
<table xmlns="http://schemas.openxmlformats.org/spreadsheetml/2006/main" id="13" name="טבלה13" displayName="טבלה13" ref="A5:B32" totalsRowShown="0" tableBorderDxfId="33">
  <autoFilter ref="A5:B32">
    <filterColumn colId="0" hiddenButton="1"/>
    <filterColumn colId="1" hiddenButton="1"/>
  </autoFilter>
  <tableColumns count="2">
    <tableColumn id="1" name="עמודה1"/>
    <tableColumn id="2" name="אלפי ₪ " dataDxfId="3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ה"/>
    </ext>
  </extLst>
</table>
</file>

<file path=xl/tables/table14.xml><?xml version="1.0" encoding="utf-8"?>
<table xmlns="http://schemas.openxmlformats.org/spreadsheetml/2006/main" id="14" name="טבלה14" displayName="טבלה14" ref="A5:B32" totalsRowShown="0" tableBorderDxfId="31">
  <autoFilter ref="A5:B32">
    <filterColumn colId="0" hiddenButton="1"/>
    <filterColumn colId="1" hiddenButton="1"/>
  </autoFilter>
  <tableColumns count="2">
    <tableColumn id="1" name="עמודה1"/>
    <tableColumn id="2" name="אלפי ₪ " dataDxfId="3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5.xml><?xml version="1.0" encoding="utf-8"?>
<table xmlns="http://schemas.openxmlformats.org/spreadsheetml/2006/main" id="15" name="טבלה15" displayName="טבלה15" ref="A5:B32" totalsRowShown="0" tableBorderDxfId="29">
  <autoFilter ref="A5:B32">
    <filterColumn colId="0" hiddenButton="1"/>
    <filterColumn colId="1" hiddenButton="1"/>
  </autoFilter>
  <tableColumns count="2">
    <tableColumn id="1" name="עמודה1"/>
    <tableColumn id="2" name="אלפי ₪ " dataDxfId="2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6.xml><?xml version="1.0" encoding="utf-8"?>
<table xmlns="http://schemas.openxmlformats.org/spreadsheetml/2006/main" id="16" name="טבלה16" displayName="טבלה16" ref="A5:B32" totalsRowShown="0" tableBorderDxfId="27">
  <autoFilter ref="A5:B32">
    <filterColumn colId="0" hiddenButton="1"/>
    <filterColumn colId="1" hiddenButton="1"/>
  </autoFilter>
  <tableColumns count="2">
    <tableColumn id="1" name="עמודה1"/>
    <tableColumn id="2" name="אלפי ₪ " dataDxfId="2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7.xml><?xml version="1.0" encoding="utf-8"?>
<table xmlns="http://schemas.openxmlformats.org/spreadsheetml/2006/main" id="17" name="טבלה17" displayName="טבלה17" ref="A5:B32" totalsRowShown="0" tableBorderDxfId="25">
  <autoFilter ref="A5:B32">
    <filterColumn colId="0" hiddenButton="1"/>
    <filterColumn colId="1" hiddenButton="1"/>
  </autoFilter>
  <tableColumns count="2">
    <tableColumn id="1" name="עמודה1"/>
    <tableColumn id="2" name="אלפי ₪ " dataDxfId="2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8.xml><?xml version="1.0" encoding="utf-8"?>
<table xmlns="http://schemas.openxmlformats.org/spreadsheetml/2006/main" id="18" name="טבלה18" displayName="טבלה18" ref="A5:B32" totalsRowShown="0" tableBorderDxfId="23">
  <autoFilter ref="A5:B32">
    <filterColumn colId="0" hiddenButton="1"/>
    <filterColumn colId="1" hiddenButton="1"/>
  </autoFilter>
  <tableColumns count="2">
    <tableColumn id="1" name="עמודה1"/>
    <tableColumn id="2" name="אלפי ₪ " dataDxfId="2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19.xml><?xml version="1.0" encoding="utf-8"?>
<table xmlns="http://schemas.openxmlformats.org/spreadsheetml/2006/main" id="19" name="טבלה19" displayName="טבלה19" ref="A5:B32" totalsRowShown="0" tableBorderDxfId="21">
  <autoFilter ref="A5:B32">
    <filterColumn colId="0" hiddenButton="1"/>
    <filterColumn colId="1" hiddenButton="1"/>
  </autoFilter>
  <tableColumns count="2">
    <tableColumn id="1" name="עמודה1"/>
    <tableColumn id="2" name="אלפי ₪ " dataDxfId="2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.xml><?xml version="1.0" encoding="utf-8"?>
<table xmlns="http://schemas.openxmlformats.org/spreadsheetml/2006/main" id="2" name="טבלה2" displayName="טבלה2" ref="A5:B32" totalsRowShown="0" tableBorderDxfId="55">
  <autoFilter ref="A5:B32">
    <filterColumn colId="0" hiddenButton="1"/>
    <filterColumn colId="1" hiddenButton="1"/>
  </autoFilter>
  <tableColumns count="2">
    <tableColumn id="1" name="עמודה1"/>
    <tableColumn id="2" name="אלפי ₪ " dataDxfId="5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0.xml><?xml version="1.0" encoding="utf-8"?>
<table xmlns="http://schemas.openxmlformats.org/spreadsheetml/2006/main" id="20" name="טבלה20" displayName="טבלה20" ref="A5:B32" totalsRowShown="0" tableBorderDxfId="19">
  <autoFilter ref="A5:B32">
    <filterColumn colId="0" hiddenButton="1"/>
    <filterColumn colId="1" hiddenButton="1"/>
  </autoFilter>
  <tableColumns count="2">
    <tableColumn id="1" name="עמודה1"/>
    <tableColumn id="2" name="אלפי ₪ " dataDxfId="1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1.xml><?xml version="1.0" encoding="utf-8"?>
<table xmlns="http://schemas.openxmlformats.org/spreadsheetml/2006/main" id="21" name="טבלה21" displayName="טבלה21" ref="A5:B32" totalsRowShown="0" tableBorderDxfId="17">
  <autoFilter ref="A5:B32">
    <filterColumn colId="0" hiddenButton="1"/>
    <filterColumn colId="1" hiddenButton="1"/>
  </autoFilter>
  <tableColumns count="2">
    <tableColumn id="1" name="עמודה1"/>
    <tableColumn id="2" name="אלפי ₪ " dataDxfId="1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2.xml><?xml version="1.0" encoding="utf-8"?>
<table xmlns="http://schemas.openxmlformats.org/spreadsheetml/2006/main" id="22" name="טבלה22" displayName="טבלה22" ref="A5:B32" totalsRowShown="0" tableBorderDxfId="15">
  <autoFilter ref="A5:B32">
    <filterColumn colId="0" hiddenButton="1"/>
    <filterColumn colId="1" hiddenButton="1"/>
  </autoFilter>
  <tableColumns count="2">
    <tableColumn id="1" name="עמודה1"/>
    <tableColumn id="2" name="אלפי ₪ " dataDxfId="1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3.xml><?xml version="1.0" encoding="utf-8"?>
<table xmlns="http://schemas.openxmlformats.org/spreadsheetml/2006/main" id="23" name="טבלה23" displayName="טבלה23" ref="A5:B32" totalsRowShown="0" tableBorderDxfId="13">
  <autoFilter ref="A5:B32">
    <filterColumn colId="0" hiddenButton="1"/>
    <filterColumn colId="1" hiddenButton="1"/>
  </autoFilter>
  <tableColumns count="2">
    <tableColumn id="1" name="עמודה1"/>
    <tableColumn id="2" name="אלפי ₪ " dataDxfId="1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4.xml><?xml version="1.0" encoding="utf-8"?>
<table xmlns="http://schemas.openxmlformats.org/spreadsheetml/2006/main" id="24" name="טבלה24" displayName="טבלה24" ref="A5:B32" totalsRowShown="0" tableBorderDxfId="11">
  <autoFilter ref="A5:B32">
    <filterColumn colId="0" hiddenButton="1"/>
    <filterColumn colId="1" hiddenButton="1"/>
  </autoFilter>
  <tableColumns count="2">
    <tableColumn id="1" name="עמודה1"/>
    <tableColumn id="2" name="אלפי ₪ " dataDxfId="1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5.xml><?xml version="1.0" encoding="utf-8"?>
<table xmlns="http://schemas.openxmlformats.org/spreadsheetml/2006/main" id="25" name="טבלה25" displayName="טבלה25" ref="A5:B32" totalsRowShown="0" tableBorderDxfId="9">
  <autoFilter ref="A5:B32">
    <filterColumn colId="0" hiddenButton="1"/>
    <filterColumn colId="1" hiddenButton="1"/>
  </autoFilter>
  <tableColumns count="2">
    <tableColumn id="1" name="עמודה1"/>
    <tableColumn id="2" name="אלפי ₪ " dataDxfId="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26.xml><?xml version="1.0" encoding="utf-8"?>
<table xmlns="http://schemas.openxmlformats.org/spreadsheetml/2006/main" id="26" name="טבלה26" displayName="טבלה26" ref="A4:C36" totalsRowShown="0" tableBorderDxfId="7">
  <autoFilter ref="A4:C36">
    <filterColumn colId="0" hiddenButton="1"/>
    <filterColumn colId="1" hiddenButton="1"/>
    <filterColumn colId="2" hiddenButton="1"/>
  </autoFilter>
  <tableColumns count="3">
    <tableColumn id="1" name="עמודה1" dataDxfId="6" dataCellStyle="Normal 2"/>
    <tableColumn id="2" name="עמודה2" dataDxfId="5" dataCellStyle="Normal 2"/>
    <tableColumn id="3" name="אלפי ₪ " dataDxfId="4" dataCellStyle="Comma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והוצאות לשנה המסתיימת ביום ה-31.12.17"/>
    </ext>
  </extLst>
</table>
</file>

<file path=xl/tables/table27.xml><?xml version="1.0" encoding="utf-8"?>
<table xmlns="http://schemas.openxmlformats.org/spreadsheetml/2006/main" id="28" name="טבלה28" displayName="טבלה28" ref="A4:C48" totalsRowShown="0" tableBorderDxfId="3">
  <autoFilter ref="A4:C48">
    <filterColumn colId="0" hiddenButton="1"/>
    <filterColumn colId="1" hiddenButton="1"/>
    <filterColumn colId="2" hiddenButton="1"/>
  </autoFilter>
  <tableColumns count="3">
    <tableColumn id="1" name="עמודה1" dataDxfId="2" dataCellStyle="Normal 2"/>
    <tableColumn id="2" name="עמודה2" dataDxfId="1" dataCellStyle="Normal 2"/>
    <tableColumn id="3" name="אלפי ₪ " dataDxfId="0" dataCellStyle="Comma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ניהול חיצוני לשנה מסתיימת ביום ה-31.12.17"/>
    </ext>
  </extLst>
</table>
</file>

<file path=xl/tables/table3.xml><?xml version="1.0" encoding="utf-8"?>
<table xmlns="http://schemas.openxmlformats.org/spreadsheetml/2006/main" id="3" name="טבלה3" displayName="טבלה3" ref="A5:B32" totalsRowShown="0" tableBorderDxfId="53">
  <autoFilter ref="A5:B32">
    <filterColumn colId="0" hiddenButton="1"/>
    <filterColumn colId="1" hiddenButton="1"/>
  </autoFilter>
  <tableColumns count="2">
    <tableColumn id="1" name="עמודה1"/>
    <tableColumn id="2" name="אלפי ₪ " dataDxfId="5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4.xml><?xml version="1.0" encoding="utf-8"?>
<table xmlns="http://schemas.openxmlformats.org/spreadsheetml/2006/main" id="4" name="טבלה4" displayName="טבלה4" ref="A5:B32" totalsRowShown="0" tableBorderDxfId="51">
  <autoFilter ref="A5:B32">
    <filterColumn colId="0" hiddenButton="1"/>
    <filterColumn colId="1" hiddenButton="1"/>
  </autoFilter>
  <tableColumns count="2">
    <tableColumn id="1" name="עמודה1"/>
    <tableColumn id="2" name="אלפי ₪ " dataDxfId="5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5.xml><?xml version="1.0" encoding="utf-8"?>
<table xmlns="http://schemas.openxmlformats.org/spreadsheetml/2006/main" id="5" name="טבלה5" displayName="טבלה5" ref="A5:B32" totalsRowShown="0" tableBorderDxfId="49">
  <autoFilter ref="A5:B32">
    <filterColumn colId="0" hiddenButton="1"/>
    <filterColumn colId="1" hiddenButton="1"/>
  </autoFilter>
  <tableColumns count="2">
    <tableColumn id="1" name="עמודה1"/>
    <tableColumn id="2" name="אלפי ₪ " dataDxfId="4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6.xml><?xml version="1.0" encoding="utf-8"?>
<table xmlns="http://schemas.openxmlformats.org/spreadsheetml/2006/main" id="6" name="טבלה6" displayName="טבלה6" ref="A5:B32" totalsRowShown="0" tableBorderDxfId="47">
  <autoFilter ref="A5:B32">
    <filterColumn colId="0" hiddenButton="1"/>
    <filterColumn colId="1" hiddenButton="1"/>
  </autoFilter>
  <tableColumns count="2">
    <tableColumn id="1" name="עמודה1"/>
    <tableColumn id="2" name="אלפי ₪ " dataDxfId="4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7.xml><?xml version="1.0" encoding="utf-8"?>
<table xmlns="http://schemas.openxmlformats.org/spreadsheetml/2006/main" id="7" name="טבלה7" displayName="טבלה7" ref="A5:B32" totalsRowShown="0" tableBorderDxfId="45">
  <autoFilter ref="A5:B32">
    <filterColumn colId="0" hiddenButton="1"/>
    <filterColumn colId="1" hiddenButton="1"/>
  </autoFilter>
  <tableColumns count="2">
    <tableColumn id="1" name="עמודה1"/>
    <tableColumn id="2" name="אלפי ₪ " dataDxfId="4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8.xml><?xml version="1.0" encoding="utf-8"?>
<table xmlns="http://schemas.openxmlformats.org/spreadsheetml/2006/main" id="8" name="טבלה8" displayName="טבלה8" ref="A5:B32" totalsRowShown="0" tableBorderDxfId="43">
  <autoFilter ref="A5:B32">
    <filterColumn colId="0" hiddenButton="1"/>
    <filterColumn colId="1" hiddenButton="1"/>
  </autoFilter>
  <tableColumns count="2">
    <tableColumn id="1" name="עמודה1"/>
    <tableColumn id="2" name="אלפי ₪ " dataDxfId="4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ables/table9.xml><?xml version="1.0" encoding="utf-8"?>
<table xmlns="http://schemas.openxmlformats.org/spreadsheetml/2006/main" id="9" name="טבלה9" displayName="טבלה9" ref="A5:B32" totalsRowShown="0" tableBorderDxfId="41">
  <autoFilter ref="A5:B32">
    <filterColumn colId="0" hiddenButton="1"/>
    <filterColumn colId="1" hiddenButton="1"/>
  </autoFilter>
  <tableColumns count="2">
    <tableColumn id="1" name="עמודה1"/>
    <tableColumn id="2" name="אלפי ₪ " dataDxfId="4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8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indexed="52"/>
  </sheetPr>
  <dimension ref="A1:G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2.140625" bestFit="1" customWidth="1"/>
    <col min="2" max="2" width="15" style="5" bestFit="1" customWidth="1"/>
    <col min="3" max="3" width="9.140625" style="7" hidden="1" customWidth="1"/>
    <col min="4" max="4" width="10.28515625" hidden="1" customWidth="1"/>
    <col min="5" max="7" width="0" hidden="1" customWidth="1"/>
    <col min="8" max="16384" width="9.140625" hidden="1"/>
  </cols>
  <sheetData>
    <row r="1" spans="1:7" x14ac:dyDescent="0.2">
      <c r="A1" s="1" t="s">
        <v>36</v>
      </c>
    </row>
    <row r="2" spans="1:7" x14ac:dyDescent="0.2">
      <c r="A2" s="2" t="s">
        <v>112</v>
      </c>
    </row>
    <row r="3" spans="1:7" x14ac:dyDescent="0.2"/>
    <row r="4" spans="1:7" x14ac:dyDescent="0.2">
      <c r="A4" s="1" t="s">
        <v>5</v>
      </c>
    </row>
    <row r="5" spans="1:7" x14ac:dyDescent="0.2">
      <c r="A5" s="64" t="s">
        <v>124</v>
      </c>
      <c r="B5" s="65" t="s">
        <v>0</v>
      </c>
    </row>
    <row r="6" spans="1:7" x14ac:dyDescent="0.2">
      <c r="A6" s="38" t="s">
        <v>52</v>
      </c>
      <c r="B6" s="58">
        <f>SUM(B7:B8)</f>
        <v>10155.150000000001</v>
      </c>
    </row>
    <row r="7" spans="1:7" x14ac:dyDescent="0.2">
      <c r="A7" s="39" t="s">
        <v>84</v>
      </c>
      <c r="B7" s="59">
        <f>'קרן י'!B7+'קרן ט'!B7+'מסלולית אגח'!B7+'מסלולית מניות'!B7+'מסלולית כללית'!B7+'הכשרה שקלי טווח קצר'!B7+'הכשרה לבני 50 ומטה'!B7+'הכשרה לבני 50-60'!B7+'הכשרה לבני 60 ומעלה'!B7+'הכשרה מקבלי קצבה'!B7+'הכשרה הלכה'!B7+'אלטשולר כללי'!B7+'אלטשולר מניות'!B7+'אלטשולר אגח'!B7+'פסגות כללי'!B7+'פסגות מניות'!B7+'פסגות אגח'!B7+'מיטב דש כללי'!B7+'מיטב דש מניות'!B7+'מיטב דש אגח'!B7+'ילין לפידות כללי '!B7+'ילין לפידות מניות '!B7+'ילין לפידות אגח '!B7+'אקסלנס נשואה פסיבי כללי'!B7</f>
        <v>10155.150000000001</v>
      </c>
      <c r="G7" s="8"/>
    </row>
    <row r="8" spans="1:7" x14ac:dyDescent="0.2">
      <c r="A8" s="39" t="s">
        <v>85</v>
      </c>
      <c r="B8" s="59">
        <v>0</v>
      </c>
    </row>
    <row r="9" spans="1:7" x14ac:dyDescent="0.2">
      <c r="A9" s="40" t="s">
        <v>53</v>
      </c>
      <c r="B9" s="60">
        <f>SUM(B10:B11)</f>
        <v>2252.2359999999999</v>
      </c>
    </row>
    <row r="10" spans="1:7" x14ac:dyDescent="0.2">
      <c r="A10" s="41" t="s">
        <v>1</v>
      </c>
      <c r="B10" s="59">
        <v>0</v>
      </c>
    </row>
    <row r="11" spans="1:7" x14ac:dyDescent="0.2">
      <c r="A11" s="41" t="s">
        <v>2</v>
      </c>
      <c r="B11" s="59">
        <f>'קרן י'!B11+'קרן ט'!B11+'מסלולית אגח'!B11+'מסלולית מניות'!B11+'מסלולית כללית'!B11+'הכשרה שקלי טווח קצר'!B11+'הכשרה לבני 50 ומטה'!B11+'הכשרה לבני 50-60'!B11+'הכשרה לבני 60 ומעלה'!B11+'הכשרה מקבלי קצבה'!B11+'הכשרה הלכה'!B11+'אלטשולר כללי'!B11+'אלטשולר מניות'!B11+'אלטשולר אגח'!B11+'פסגות כללי'!B11+'פסגות מניות'!B11+'פסגות אגח'!B11+'מיטב דש כללי'!B11+'מיטב דש מניות'!B11+'מיטב דש אגח'!B11+'ילין לפידות כללי '!B11+'ילין לפידות מניות '!B11+'ילין לפידות אגח '!B11+'אקסלנס נשואה פסיבי כללי'!B11</f>
        <v>2252.2359999999999</v>
      </c>
      <c r="E11" s="8"/>
      <c r="F11" s="8"/>
    </row>
    <row r="12" spans="1:7" x14ac:dyDescent="0.2">
      <c r="A12" s="38" t="s">
        <v>54</v>
      </c>
      <c r="B12" s="60">
        <f>SUM(B13:B15)</f>
        <v>0</v>
      </c>
      <c r="D12" s="7"/>
    </row>
    <row r="13" spans="1:7" x14ac:dyDescent="0.2">
      <c r="A13" s="39" t="s">
        <v>79</v>
      </c>
      <c r="B13" s="59"/>
      <c r="C13" s="6"/>
      <c r="D13" s="7"/>
    </row>
    <row r="14" spans="1:7" x14ac:dyDescent="0.2">
      <c r="A14" s="39" t="s">
        <v>57</v>
      </c>
      <c r="B14" s="59"/>
      <c r="C14" s="6"/>
      <c r="D14" s="7"/>
    </row>
    <row r="15" spans="1:7" x14ac:dyDescent="0.2">
      <c r="A15" s="39" t="s">
        <v>58</v>
      </c>
      <c r="B15" s="59"/>
      <c r="C15" s="6"/>
      <c r="D15" s="7"/>
    </row>
    <row r="16" spans="1:7" x14ac:dyDescent="0.2">
      <c r="A16" s="42" t="s">
        <v>55</v>
      </c>
      <c r="B16" s="60">
        <f>SUM(B17:B24)</f>
        <v>6913.2620000000015</v>
      </c>
    </row>
    <row r="17" spans="1:5" x14ac:dyDescent="0.2">
      <c r="A17" s="39" t="s">
        <v>46</v>
      </c>
      <c r="B17" s="59">
        <f>'קרן י'!B17+'קרן ט'!B17+'מסלולית אגח'!B17+'מסלולית מניות'!B17+'מסלולית כללית'!B17+'הכשרה שקלי טווח קצר'!B17+'הכשרה לבני 50 ומטה'!B17+'הכשרה לבני 50-60'!B17+'הכשרה לבני 60 ומעלה'!B17+'הכשרה מקבלי קצבה'!B17+'הכשרה הלכה'!B17+'אלטשולר כללי'!B17+'אלטשולר מניות'!B17+'אלטשולר אגח'!B17+'פסגות כללי'!B17+'פסגות מניות'!B17+'פסגות אגח'!B17+'מיטב דש כללי'!B17+'מיטב דש מניות'!B17+'מיטב דש אגח'!B17+'ילין לפידות כללי '!B17+'ילין לפידות מניות '!B17+'ילין לפידות אגח '!B17+'אקסלנס נשואה פסיבי כללי'!B17</f>
        <v>3125.5700000000006</v>
      </c>
      <c r="D17" s="8"/>
    </row>
    <row r="18" spans="1:5" x14ac:dyDescent="0.2">
      <c r="A18" s="39" t="s">
        <v>47</v>
      </c>
      <c r="B18" s="59">
        <f>'קרן י'!B18+'קרן ט'!B18+'מסלולית אגח'!B18+'מסלולית מניות'!B18+'מסלולית כללית'!B18+'הכשרה שקלי טווח קצר'!B18+'הכשרה לבני 50 ומטה'!B18+'הכשרה לבני 50-60'!B18+'הכשרה לבני 60 ומעלה'!B18+'הכשרה מקבלי קצבה'!B18+'הכשרה הלכה'!B18+'אלטשולר כללי'!B18+'אלטשולר מניות'!B18+'אלטשולר אגח'!B18+'פסגות כללי'!B18+'פסגות מניות'!B18+'פסגות אגח'!B18+'מיטב דש כללי'!B18+'מיטב דש מניות'!B18+'מיטב דש אגח'!B18+'ילין לפידות כללי '!B18+'ילין לפידות מניות '!B18+'ילין לפידות אגח '!B18+'אקסלנס נשואה פסיבי כללי'!B18</f>
        <v>455.81</v>
      </c>
    </row>
    <row r="19" spans="1:5" x14ac:dyDescent="0.2">
      <c r="A19" s="39" t="s">
        <v>48</v>
      </c>
      <c r="B19" s="59">
        <f>'קרן י'!B19+'קרן ט'!B19+'מסלולית אגח'!B19+'מסלולית מניות'!B19+'מסלולית כללית'!B19+'הכשרה שקלי טווח קצר'!B19+'הכשרה לבני 50 ומטה'!B19+'הכשרה לבני 50-60'!B19+'הכשרה לבני 60 ומעלה'!B19+'הכשרה מקבלי קצבה'!B19+'הכשרה הלכה'!B19+'אלטשולר כללי'!B19+'אלטשולר מניות'!B19+'אלטשולר אגח'!B19+'פסגות כללי'!B19+'פסגות מניות'!B19+'פסגות אגח'!B19+'מיטב דש כללי'!B19+'מיטב דש מניות'!B19+'מיטב דש אגח'!B19+'ילין לפידות כללי '!B19+'ילין לפידות מניות '!B19+'ילין לפידות אגח '!B19+'אקסלנס נשואה פסיבי כללי'!B19</f>
        <v>0</v>
      </c>
    </row>
    <row r="20" spans="1:5" x14ac:dyDescent="0.2">
      <c r="A20" s="39" t="s">
        <v>25</v>
      </c>
      <c r="B20" s="59">
        <f>'קרן י'!B20+'קרן ט'!B20+'מסלולית אגח'!B20+'מסלולית מניות'!B20+'מסלולית כללית'!B20+'הכשרה שקלי טווח קצר'!B20+'הכשרה לבני 50 ומטה'!B20+'הכשרה לבני 50-60'!B20+'הכשרה לבני 60 ומעלה'!B20+'הכשרה מקבלי קצבה'!B20+'הכשרה הלכה'!B20+'אלטשולר כללי'!B20+'אלטשולר מניות'!B20+'אלטשולר אגח'!B20+'פסגות כללי'!B20+'פסגות מניות'!B20+'פסגות אגח'!B20+'מיטב דש כללי'!B20+'מיטב דש מניות'!B20+'מיטב דש אגח'!B20+'ילין לפידות כללי '!B20+'ילין לפידות מניות '!B20+'ילין לפידות אגח '!B20+'אקסלנס נשואה פסיבי כללי'!B20</f>
        <v>0</v>
      </c>
    </row>
    <row r="21" spans="1:5" x14ac:dyDescent="0.2">
      <c r="A21" s="39" t="s">
        <v>49</v>
      </c>
      <c r="B21" s="59">
        <f>'קרן י'!B21+'קרן ט'!B21+'מסלולית אגח'!B21+'מסלולית מניות'!B21+'מסלולית כללית'!B21+'הכשרה שקלי טווח קצר'!B21+'הכשרה לבני 50 ומטה'!B21+'הכשרה לבני 50-60'!B21+'הכשרה לבני 60 ומעלה'!B21+'הכשרה מקבלי קצבה'!B21+'הכשרה הלכה'!B21+'אלטשולר כללי'!B21+'אלטשולר מניות'!B21+'אלטשולר אגח'!B21+'פסגות כללי'!B21+'פסגות מניות'!B21+'פסגות אגח'!B21+'מיטב דש כללי'!B21+'מיטב דש מניות'!B21+'מיטב דש אגח'!B21+'ילין לפידות כללי '!B21+'ילין לפידות מניות '!B21+'ילין לפידות אגח '!B21+'אקסלנס נשואה פסיבי כללי'!B21</f>
        <v>568.32999999999993</v>
      </c>
      <c r="C21" s="55"/>
    </row>
    <row r="22" spans="1:5" x14ac:dyDescent="0.2">
      <c r="A22" s="39" t="s">
        <v>50</v>
      </c>
      <c r="B22" s="59">
        <f>'קרן י'!B22+'קרן ט'!B22+'מסלולית אגח'!B22+'מסלולית מניות'!B22+'מסלולית כללית'!B22+'הכשרה שקלי טווח קצר'!B22+'הכשרה לבני 50 ומטה'!B22+'הכשרה לבני 50-60'!B22+'הכשרה לבני 60 ומעלה'!B22+'הכשרה מקבלי קצבה'!B22+'הכשרה הלכה'!B22+'אלטשולר כללי'!B22+'אלטשולר מניות'!B22+'אלטשולר אגח'!B22+'פסגות כללי'!B22+'פסגות מניות'!B22+'פסגות אגח'!B22+'מיטב דש כללי'!B22+'מיטב דש מניות'!B22+'מיטב דש אגח'!B22+'ילין לפידות כללי '!B22+'ילין לפידות מניות '!B22+'ילין לפידות אגח '!B22+'אקסלנס נשואה פסיבי כללי'!B22</f>
        <v>2137.2600000000007</v>
      </c>
      <c r="C22" s="55"/>
      <c r="D22" s="8"/>
      <c r="E22" s="8"/>
    </row>
    <row r="23" spans="1:5" x14ac:dyDescent="0.2">
      <c r="A23" s="39" t="s">
        <v>4</v>
      </c>
      <c r="B23" s="59">
        <f>'קרן י'!B23+'קרן ט'!B23+'מסלולית אגח'!B23+'מסלולית מניות'!B23+'מסלולית כללית'!B23+'הכשרה שקלי טווח קצר'!B23+'הכשרה לבני 50 ומטה'!B23+'הכשרה לבני 50-60'!B23+'הכשרה לבני 60 ומעלה'!B23+'הכשרה מקבלי קצבה'!B23+'הכשרה הלכה'!B23+'אלטשולר כללי'!B23+'אלטשולר מניות'!B23+'אלטשולר אגח'!B23+'פסגות כללי'!B23+'פסגות מניות'!B23+'פסגות אגח'!B23+'מיטב דש כללי'!B23+'מיטב דש מניות'!B23+'מיטב דש אגח'!B23+'ילין לפידות כללי '!B23+'ילין לפידות מניות '!B23+'ילין לפידות אגח '!B23+'אקסלנס נשואה פסיבי כללי'!B23</f>
        <v>17.082000000000001</v>
      </c>
    </row>
    <row r="24" spans="1:5" x14ac:dyDescent="0.2">
      <c r="A24" s="39" t="s">
        <v>51</v>
      </c>
      <c r="B24" s="59">
        <f>'קרן י'!B24+'קרן ט'!B24+'מסלולית אגח'!B24+'מסלולית מניות'!B24+'מסלולית כללית'!B24+'הכשרה שקלי טווח קצר'!B24+'הכשרה לבני 50 ומטה'!B24+'הכשרה לבני 50-60'!B24+'הכשרה לבני 60 ומעלה'!B24+'הכשרה מקבלי קצבה'!B24+'הכשרה הלכה'!B24+'אלטשולר כללי'!B24+'אלטשולר מניות'!B24+'אלטשולר אגח'!B24+'פסגות כללי'!B24+'פסגות מניות'!B24+'פסגות אגח'!B24+'מיטב דש כללי'!B24+'מיטב דש מניות'!B24+'מיטב דש אגח'!B24+'ילין לפידות כללי '!B24+'ילין לפידות מניות '!B24+'ילין לפידות אגח '!B24+'אקסלנס נשואה פסיבי כללי'!B24</f>
        <v>609.21</v>
      </c>
    </row>
    <row r="25" spans="1:5" x14ac:dyDescent="0.2">
      <c r="A25" s="42" t="s">
        <v>56</v>
      </c>
      <c r="B25" s="61">
        <f>SUM(B26:B27)</f>
        <v>0</v>
      </c>
    </row>
    <row r="26" spans="1:5" x14ac:dyDescent="0.2">
      <c r="A26" s="39" t="s">
        <v>59</v>
      </c>
      <c r="B26" s="59"/>
    </row>
    <row r="27" spans="1:5" x14ac:dyDescent="0.2">
      <c r="A27" s="39" t="s">
        <v>60</v>
      </c>
      <c r="B27" s="59"/>
    </row>
    <row r="28" spans="1:5" x14ac:dyDescent="0.2">
      <c r="A28" s="42" t="s">
        <v>61</v>
      </c>
      <c r="B28" s="59">
        <f>B6+B12+B16+B25+B9</f>
        <v>19320.648000000005</v>
      </c>
    </row>
    <row r="29" spans="1:5" x14ac:dyDescent="0.2">
      <c r="A29" s="42" t="s">
        <v>62</v>
      </c>
      <c r="B29" s="59"/>
      <c r="D29" s="8"/>
    </row>
    <row r="30" spans="1:5" ht="25.5" x14ac:dyDescent="0.2">
      <c r="A30" s="43" t="s">
        <v>88</v>
      </c>
      <c r="B30" s="62">
        <f>(B13+B16+B27)/B32</f>
        <v>7.191923878560652E-4</v>
      </c>
      <c r="D30" s="44"/>
    </row>
    <row r="31" spans="1:5" x14ac:dyDescent="0.2">
      <c r="A31" s="39" t="s">
        <v>63</v>
      </c>
      <c r="B31" s="62">
        <f>B28/B32</f>
        <v>2.009943058724884E-3</v>
      </c>
      <c r="D31" s="8"/>
    </row>
    <row r="32" spans="1:5" x14ac:dyDescent="0.2">
      <c r="A32" s="48" t="s">
        <v>64</v>
      </c>
      <c r="B32" s="63">
        <f>'קרן י'!B32+'קרן ט'!B32+'מסלולית אגח'!B32+'מסלולית מניות'!B32+'מסלולית כללית'!B32+'הכשרה שקלי טווח קצר'!B32+'הכשרה לבני 50 ומטה'!B32+'הכשרה לבני 50-60'!B32+'הכשרה לבני 60 ומעלה'!B32+'הכשרה מקבלי קצבה'!B32+'הכשרה הלכה'!B32+'אלטשולר כללי'!B32+'אלטשולר מניות'!B32+'אלטשולר אגח'!B32+'פסגות כללי'!B32+'פסגות מניות'!B32+'פסגות אגח'!B32+'מיטב דש כללי'!B32+'מיטב דש מניות'!B32+'מיטב דש אגח'!B32+'ילין לפידות כללי '!B32+'ילין לפידות מניות '!B32+'ילין לפידות אגח '!B32+'אקסלנס נשואה פסיבי כללי'!B32</f>
        <v>9612535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96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55.32</v>
      </c>
    </row>
    <row r="7" spans="1:2" x14ac:dyDescent="0.2">
      <c r="A7" s="39" t="s">
        <v>84</v>
      </c>
      <c r="B7" s="59">
        <f>25.27+30.05</f>
        <v>55.32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19.82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1.28+9.54+9</f>
        <v>19.82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26.080000000000002</v>
      </c>
    </row>
    <row r="17" spans="1:2" x14ac:dyDescent="0.2">
      <c r="A17" s="39" t="s">
        <v>46</v>
      </c>
      <c r="B17" s="59">
        <f>3.57</f>
        <v>3.57</v>
      </c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2.97+3.43</f>
        <v>6.4</v>
      </c>
    </row>
    <row r="22" spans="1:2" x14ac:dyDescent="0.2">
      <c r="A22" s="39" t="s">
        <v>50</v>
      </c>
      <c r="B22" s="59">
        <f>6.02+8.58</f>
        <v>14.6</v>
      </c>
    </row>
    <row r="23" spans="1:2" x14ac:dyDescent="0.2">
      <c r="A23" s="39" t="s">
        <v>4</v>
      </c>
      <c r="B23" s="59">
        <f>0.17+0.74</f>
        <v>0.91</v>
      </c>
    </row>
    <row r="24" spans="1:2" x14ac:dyDescent="0.2">
      <c r="A24" s="39" t="s">
        <v>51</v>
      </c>
      <c r="B24" s="59">
        <v>0.6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101.22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4.4761773994233151E-4</v>
      </c>
    </row>
    <row r="31" spans="1:2" x14ac:dyDescent="0.2">
      <c r="A31" s="39" t="s">
        <v>63</v>
      </c>
      <c r="B31" s="62">
        <f>B28/B32</f>
        <v>1.7372648633804751E-3</v>
      </c>
    </row>
    <row r="32" spans="1:2" x14ac:dyDescent="0.2">
      <c r="A32" s="48" t="s">
        <v>64</v>
      </c>
      <c r="B32" s="63">
        <v>58264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97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15.09</v>
      </c>
    </row>
    <row r="7" spans="1:2" x14ac:dyDescent="0.2">
      <c r="A7" s="39" t="s">
        <v>84</v>
      </c>
      <c r="B7" s="59">
        <f>7.99+7.1</f>
        <v>15.09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4.92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0.93+1.99+2</f>
        <v>4.92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10.79</v>
      </c>
    </row>
    <row r="17" spans="1:2" x14ac:dyDescent="0.2">
      <c r="A17" s="39" t="s">
        <v>46</v>
      </c>
      <c r="B17" s="59">
        <f>2.05+3</f>
        <v>5.05</v>
      </c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1.32+1.61</f>
        <v>2.93</v>
      </c>
    </row>
    <row r="22" spans="1:2" x14ac:dyDescent="0.2">
      <c r="A22" s="39" t="s">
        <v>50</v>
      </c>
      <c r="B22" s="59">
        <f>1.18+1.52</f>
        <v>2.7</v>
      </c>
    </row>
    <row r="23" spans="1:2" x14ac:dyDescent="0.2">
      <c r="A23" s="39" t="s">
        <v>4</v>
      </c>
      <c r="B23" s="59">
        <f>0.01+0.01</f>
        <v>0.02</v>
      </c>
    </row>
    <row r="24" spans="1:2" x14ac:dyDescent="0.2">
      <c r="A24" s="39" t="s">
        <v>51</v>
      </c>
      <c r="B24" s="59">
        <v>0.09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30.799999999999997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6.1534074707727399E-4</v>
      </c>
    </row>
    <row r="31" spans="1:2" x14ac:dyDescent="0.2">
      <c r="A31" s="39" t="s">
        <v>63</v>
      </c>
      <c r="B31" s="62">
        <f>B28/B32</f>
        <v>1.7564870259481036E-3</v>
      </c>
    </row>
    <row r="32" spans="1:2" x14ac:dyDescent="0.2">
      <c r="A32" s="48" t="s">
        <v>64</v>
      </c>
      <c r="B32" s="63">
        <v>17535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98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3.01</v>
      </c>
    </row>
    <row r="7" spans="1:2" x14ac:dyDescent="0.2">
      <c r="A7" s="39" t="s">
        <v>84</v>
      </c>
      <c r="B7" s="59">
        <f>1.52+1.49</f>
        <v>3.01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0.01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v>0.01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0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/>
    </row>
    <row r="22" spans="1:2" x14ac:dyDescent="0.2">
      <c r="A22" s="39" t="s">
        <v>50</v>
      </c>
      <c r="B22" s="59"/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3.0199999999999996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59">
        <f>(B13+B16+B27)/B32</f>
        <v>0</v>
      </c>
    </row>
    <row r="31" spans="1:2" x14ac:dyDescent="0.2">
      <c r="A31" s="39" t="s">
        <v>63</v>
      </c>
      <c r="B31" s="62">
        <f>B28/B32</f>
        <v>4.9041896719714188E-4</v>
      </c>
    </row>
    <row r="32" spans="1:2" x14ac:dyDescent="0.2">
      <c r="A32" s="48" t="s">
        <v>64</v>
      </c>
      <c r="B32" s="63">
        <v>6158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0.5703125" customWidth="1"/>
    <col min="2" max="2" width="14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39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2967.0199999999995</v>
      </c>
    </row>
    <row r="7" spans="1:2" x14ac:dyDescent="0.2">
      <c r="A7" s="39" t="s">
        <v>84</v>
      </c>
      <c r="B7" s="59">
        <f>2184.02+28.7+754.3</f>
        <v>2967.0199999999995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4.99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3.43-1.44+3</f>
        <v>4.99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540.44000000000005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>
        <f>10.39+1.44</f>
        <v>11.83</v>
      </c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v>0.42</v>
      </c>
    </row>
    <row r="22" spans="1:2" x14ac:dyDescent="0.2">
      <c r="A22" s="39" t="s">
        <v>50</v>
      </c>
      <c r="B22" s="59">
        <f>218.65+40.19</f>
        <v>258.84000000000003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>
        <f>169.35+100</f>
        <v>269.35000000000002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3512.4499999999994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2.9041642977590583E-4</v>
      </c>
    </row>
    <row r="31" spans="1:2" x14ac:dyDescent="0.2">
      <c r="A31" s="39" t="s">
        <v>63</v>
      </c>
      <c r="B31" s="62">
        <f>B28/B32</f>
        <v>1.8874864717015399E-3</v>
      </c>
    </row>
    <row r="32" spans="1:2" x14ac:dyDescent="0.2">
      <c r="A32" s="48" t="s">
        <v>64</v>
      </c>
      <c r="B32" s="63">
        <v>1860914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3.14062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40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969.12</v>
      </c>
    </row>
    <row r="7" spans="1:2" x14ac:dyDescent="0.2">
      <c r="A7" s="39" t="s">
        <v>84</v>
      </c>
      <c r="B7" s="59">
        <f>739.2+10.02+219.9</f>
        <v>969.12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1.5899999999999999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0.59+1</f>
        <v>1.5899999999999999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206.5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v>17.28</v>
      </c>
    </row>
    <row r="22" spans="1:2" x14ac:dyDescent="0.2">
      <c r="A22" s="39" t="s">
        <v>50</v>
      </c>
      <c r="B22" s="59">
        <f>84.03+12.96</f>
        <v>96.990000000000009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>
        <f>61.23+31</f>
        <v>92.22999999999999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1177.21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8.0028213336227005E-4</v>
      </c>
    </row>
    <row r="31" spans="1:2" x14ac:dyDescent="0.2">
      <c r="A31" s="39" t="s">
        <v>63</v>
      </c>
      <c r="B31" s="62">
        <f>B28/B32</f>
        <v>4.5622282334886102E-3</v>
      </c>
    </row>
    <row r="32" spans="1:2" x14ac:dyDescent="0.2">
      <c r="A32" s="48" t="s">
        <v>64</v>
      </c>
      <c r="B32" s="63">
        <v>258034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4257812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41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218.55</v>
      </c>
    </row>
    <row r="7" spans="1:2" x14ac:dyDescent="0.2">
      <c r="A7" s="39" t="s">
        <v>84</v>
      </c>
      <c r="B7" s="59">
        <f>137.44+81.11</f>
        <v>218.55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0.39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v>0.39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0.55000000000000004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/>
    </row>
    <row r="22" spans="1:2" x14ac:dyDescent="0.2">
      <c r="A22" s="39" t="s">
        <v>50</v>
      </c>
      <c r="B22" s="59">
        <v>0.55000000000000004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219.49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1.2668432569388461E-6</v>
      </c>
    </row>
    <row r="31" spans="1:2" x14ac:dyDescent="0.2">
      <c r="A31" s="39" t="s">
        <v>63</v>
      </c>
      <c r="B31" s="62">
        <f>B28/B32</f>
        <v>5.0556259357364963E-4</v>
      </c>
    </row>
    <row r="32" spans="1:2" x14ac:dyDescent="0.2">
      <c r="A32" s="48" t="s">
        <v>64</v>
      </c>
      <c r="B32" s="63">
        <v>434150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0.71093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42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30.990000000000002</v>
      </c>
    </row>
    <row r="7" spans="1:2" x14ac:dyDescent="0.2">
      <c r="A7" s="39" t="s">
        <v>84</v>
      </c>
      <c r="B7" s="59">
        <f>15.14+15.85</f>
        <v>30.990000000000002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0.71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0.71</f>
        <v>0.71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38.46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3.31+3.64</f>
        <v>6.95</v>
      </c>
    </row>
    <row r="22" spans="1:2" x14ac:dyDescent="0.2">
      <c r="A22" s="39" t="s">
        <v>50</v>
      </c>
      <c r="B22" s="59">
        <f>13.61+16</f>
        <v>29.61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>
        <f>0.9+1</f>
        <v>1.9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70.16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3.8461923096154806E-4</v>
      </c>
    </row>
    <row r="31" spans="1:2" x14ac:dyDescent="0.2">
      <c r="A31" s="39" t="s">
        <v>63</v>
      </c>
      <c r="B31" s="62">
        <f>B28/B32</f>
        <v>7.016350817540877E-4</v>
      </c>
    </row>
    <row r="32" spans="1:2" x14ac:dyDescent="0.2">
      <c r="A32" s="48" t="s">
        <v>64</v>
      </c>
      <c r="B32" s="63">
        <v>99995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1.71093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43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12.01</v>
      </c>
    </row>
    <row r="7" spans="1:2" x14ac:dyDescent="0.2">
      <c r="A7" s="39" t="s">
        <v>84</v>
      </c>
      <c r="B7" s="59">
        <f>7.76+4.25</f>
        <v>12.01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3.18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0.18+3</f>
        <v>3.18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25.409999999999997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3.73+5</f>
        <v>8.73</v>
      </c>
    </row>
    <row r="22" spans="1:2" x14ac:dyDescent="0.2">
      <c r="A22" s="39" t="s">
        <v>50</v>
      </c>
      <c r="B22" s="59">
        <f>7.6+8.7</f>
        <v>16.299999999999997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>
        <v>0.38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40.599999999999994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1.1760622049430713E-3</v>
      </c>
    </row>
    <row r="31" spans="1:2" x14ac:dyDescent="0.2">
      <c r="A31" s="39" t="s">
        <v>63</v>
      </c>
      <c r="B31" s="62">
        <f>B28/B32</f>
        <v>1.8791076552809403E-3</v>
      </c>
    </row>
    <row r="32" spans="1:2" x14ac:dyDescent="0.2">
      <c r="A32" s="48" t="s">
        <v>64</v>
      </c>
      <c r="B32" s="63">
        <v>21606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.140625" bestFit="1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44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14.73</v>
      </c>
    </row>
    <row r="7" spans="1:2" x14ac:dyDescent="0.2">
      <c r="A7" s="39" t="s">
        <v>84</v>
      </c>
      <c r="B7" s="59">
        <f>2.96+11.77</f>
        <v>14.73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0.22</v>
      </c>
    </row>
    <row r="10" spans="1:2" x14ac:dyDescent="0.2">
      <c r="A10" s="41" t="s">
        <v>1</v>
      </c>
      <c r="B10" s="59"/>
    </row>
    <row r="11" spans="1:2" x14ac:dyDescent="0.2">
      <c r="A11" s="41" t="s">
        <v>2</v>
      </c>
      <c r="B11" s="59">
        <v>0.22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0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/>
    </row>
    <row r="22" spans="1:2" x14ac:dyDescent="0.2">
      <c r="A22" s="39" t="s">
        <v>50</v>
      </c>
      <c r="B22" s="59"/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14.950000000000001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59">
        <f>(B13+B16+B27)/B32</f>
        <v>0</v>
      </c>
    </row>
    <row r="31" spans="1:2" x14ac:dyDescent="0.2">
      <c r="A31" s="39" t="s">
        <v>63</v>
      </c>
      <c r="B31" s="62">
        <f>B28/B32</f>
        <v>1.3415531506308441E-4</v>
      </c>
    </row>
    <row r="32" spans="1:2" x14ac:dyDescent="0.2">
      <c r="A32" s="48" t="s">
        <v>64</v>
      </c>
      <c r="B32" s="63">
        <v>111438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'נספח 1 מצרפי '!A2</f>
        <v>ביום ה-31.12.18</v>
      </c>
    </row>
    <row r="3" spans="1:2" x14ac:dyDescent="0.2"/>
    <row r="4" spans="1:2" x14ac:dyDescent="0.2">
      <c r="A4" s="1" t="s">
        <v>76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100.62</v>
      </c>
    </row>
    <row r="7" spans="1:2" x14ac:dyDescent="0.2">
      <c r="A7" s="39" t="s">
        <v>84</v>
      </c>
      <c r="B7" s="59">
        <f>51.31+3.19+46.12</f>
        <v>100.62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0.16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v>0.16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25.57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4.65+4</f>
        <v>8.65</v>
      </c>
    </row>
    <row r="22" spans="1:2" x14ac:dyDescent="0.2">
      <c r="A22" s="39" t="s">
        <v>50</v>
      </c>
      <c r="B22" s="59">
        <f>12.12+4.8</f>
        <v>16.919999999999998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126.35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1.6346596430215314E-4</v>
      </c>
    </row>
    <row r="31" spans="1:2" x14ac:dyDescent="0.2">
      <c r="A31" s="39" t="s">
        <v>63</v>
      </c>
      <c r="B31" s="62">
        <f>B28/B32</f>
        <v>8.0774050017900058E-4</v>
      </c>
    </row>
    <row r="32" spans="1:2" x14ac:dyDescent="0.2">
      <c r="A32" s="48" t="s">
        <v>64</v>
      </c>
      <c r="B32" s="63">
        <v>156424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5" tint="0.59999389629810485"/>
  </sheetPr>
  <dimension ref="A1:D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.140625" bestFit="1" customWidth="1"/>
    <col min="2" max="2" width="14" style="5" bestFit="1" customWidth="1"/>
    <col min="3" max="4" width="0" hidden="1" customWidth="1"/>
    <col min="5" max="16384" width="9.140625" hidden="1"/>
  </cols>
  <sheetData>
    <row r="1" spans="1:4" x14ac:dyDescent="0.2">
      <c r="A1" s="1" t="s">
        <v>36</v>
      </c>
    </row>
    <row r="2" spans="1:4" x14ac:dyDescent="0.2">
      <c r="A2" s="2" t="s">
        <v>113</v>
      </c>
    </row>
    <row r="3" spans="1:4" x14ac:dyDescent="0.2"/>
    <row r="4" spans="1:4" x14ac:dyDescent="0.2">
      <c r="A4" s="1" t="s">
        <v>35</v>
      </c>
    </row>
    <row r="5" spans="1:4" x14ac:dyDescent="0.2">
      <c r="A5" s="64" t="s">
        <v>124</v>
      </c>
      <c r="B5" s="65" t="s">
        <v>0</v>
      </c>
    </row>
    <row r="6" spans="1:4" x14ac:dyDescent="0.2">
      <c r="A6" s="38" t="s">
        <v>52</v>
      </c>
      <c r="B6" s="58">
        <f>SUM(B7:B8)</f>
        <v>1938.26</v>
      </c>
    </row>
    <row r="7" spans="1:4" x14ac:dyDescent="0.2">
      <c r="A7" s="39" t="s">
        <v>84</v>
      </c>
      <c r="B7" s="59">
        <f>923.54+1014.72</f>
        <v>1938.26</v>
      </c>
      <c r="C7" s="53"/>
      <c r="D7" s="54"/>
    </row>
    <row r="8" spans="1:4" x14ac:dyDescent="0.2">
      <c r="A8" s="39" t="s">
        <v>85</v>
      </c>
      <c r="B8" s="59">
        <v>0</v>
      </c>
    </row>
    <row r="9" spans="1:4" x14ac:dyDescent="0.2">
      <c r="A9" s="40" t="s">
        <v>53</v>
      </c>
      <c r="B9" s="60">
        <f>SUM(B10:B11)</f>
        <v>893.43000000000006</v>
      </c>
      <c r="D9" s="8"/>
    </row>
    <row r="10" spans="1:4" x14ac:dyDescent="0.2">
      <c r="A10" s="41" t="s">
        <v>1</v>
      </c>
      <c r="B10" s="59">
        <v>0</v>
      </c>
    </row>
    <row r="11" spans="1:4" x14ac:dyDescent="0.2">
      <c r="A11" s="41" t="s">
        <v>2</v>
      </c>
      <c r="B11" s="59">
        <f>40.64+455.79+397</f>
        <v>893.43000000000006</v>
      </c>
      <c r="C11" s="6"/>
    </row>
    <row r="12" spans="1:4" x14ac:dyDescent="0.2">
      <c r="A12" s="38" t="s">
        <v>54</v>
      </c>
      <c r="B12" s="60">
        <f>SUM(B13:B15)</f>
        <v>0</v>
      </c>
      <c r="C12" s="7"/>
    </row>
    <row r="13" spans="1:4" x14ac:dyDescent="0.2">
      <c r="A13" s="39" t="s">
        <v>79</v>
      </c>
      <c r="B13" s="59"/>
    </row>
    <row r="14" spans="1:4" x14ac:dyDescent="0.2">
      <c r="A14" s="39" t="s">
        <v>57</v>
      </c>
      <c r="B14" s="59"/>
    </row>
    <row r="15" spans="1:4" x14ac:dyDescent="0.2">
      <c r="A15" s="39" t="s">
        <v>58</v>
      </c>
      <c r="B15" s="59"/>
    </row>
    <row r="16" spans="1:4" x14ac:dyDescent="0.2">
      <c r="A16" s="42" t="s">
        <v>55</v>
      </c>
      <c r="B16" s="60">
        <f>SUM(B17:B24)</f>
        <v>2592.3500000000004</v>
      </c>
    </row>
    <row r="17" spans="1:2" x14ac:dyDescent="0.2">
      <c r="A17" s="39" t="s">
        <v>46</v>
      </c>
      <c r="B17" s="59">
        <f>693.34+810</f>
        <v>1503.3400000000001</v>
      </c>
    </row>
    <row r="18" spans="1:2" x14ac:dyDescent="0.2">
      <c r="A18" s="39" t="s">
        <v>47</v>
      </c>
      <c r="B18" s="59">
        <f>120.87+131</f>
        <v>251.87</v>
      </c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28.26-1.6+30</f>
        <v>56.66</v>
      </c>
    </row>
    <row r="22" spans="1:2" x14ac:dyDescent="0.2">
      <c r="A22" s="39" t="s">
        <v>50</v>
      </c>
      <c r="B22" s="59">
        <f>362.67+1.6+299.74</f>
        <v>664.01</v>
      </c>
    </row>
    <row r="23" spans="1:2" x14ac:dyDescent="0.2">
      <c r="A23" s="39" t="s">
        <v>4</v>
      </c>
      <c r="B23" s="59">
        <f>3.26+2.2</f>
        <v>5.46</v>
      </c>
    </row>
    <row r="24" spans="1:2" x14ac:dyDescent="0.2">
      <c r="A24" s="39" t="s">
        <v>51</v>
      </c>
      <c r="B24" s="59">
        <f>68.01+43</f>
        <v>111.01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5424.0400000000009</v>
      </c>
    </row>
    <row r="29" spans="1:2" x14ac:dyDescent="0.2">
      <c r="A29" s="42" t="s">
        <v>62</v>
      </c>
      <c r="B29" s="59"/>
    </row>
    <row r="30" spans="1:2" ht="25.5" x14ac:dyDescent="0.2">
      <c r="A30" s="43" t="s">
        <v>75</v>
      </c>
      <c r="B30" s="62">
        <f>(B13+B16+B27)/B32</f>
        <v>1.5732933104006626E-3</v>
      </c>
    </row>
    <row r="31" spans="1:2" x14ac:dyDescent="0.2">
      <c r="A31" s="39" t="s">
        <v>63</v>
      </c>
      <c r="B31" s="62">
        <f>B28/B32</f>
        <v>3.2918417063072538E-3</v>
      </c>
    </row>
    <row r="32" spans="1:2" x14ac:dyDescent="0.2">
      <c r="A32" s="48" t="s">
        <v>64</v>
      </c>
      <c r="B32" s="63">
        <v>1647722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570312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77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17.68</v>
      </c>
    </row>
    <row r="7" spans="1:2" x14ac:dyDescent="0.2">
      <c r="A7" s="39" t="s">
        <v>84</v>
      </c>
      <c r="B7" s="59">
        <f>10.89+0.99+5.8</f>
        <v>17.68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7.0000000000000001E-3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v>7.0000000000000001E-3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11.200000000000001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2.66+2</f>
        <v>4.66</v>
      </c>
    </row>
    <row r="22" spans="1:2" x14ac:dyDescent="0.2">
      <c r="A22" s="39" t="s">
        <v>50</v>
      </c>
      <c r="B22" s="59">
        <f>4.1+1.36</f>
        <v>5.46</v>
      </c>
    </row>
    <row r="23" spans="1:2" x14ac:dyDescent="0.2">
      <c r="A23" s="39" t="s">
        <v>4</v>
      </c>
      <c r="B23" s="59">
        <f>0.68+0.4</f>
        <v>1.08</v>
      </c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28.887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6.9191326373015387E-4</v>
      </c>
    </row>
    <row r="31" spans="1:2" x14ac:dyDescent="0.2">
      <c r="A31" s="39" t="s">
        <v>63</v>
      </c>
      <c r="B31" s="62">
        <f>B28/B32</f>
        <v>1.7845802186940137E-3</v>
      </c>
    </row>
    <row r="32" spans="1:2" x14ac:dyDescent="0.2">
      <c r="A32" s="48" t="s">
        <v>64</v>
      </c>
      <c r="B32" s="63">
        <v>16187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8554687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78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18.670000000000002</v>
      </c>
    </row>
    <row r="7" spans="1:2" x14ac:dyDescent="0.2">
      <c r="A7" s="39" t="s">
        <v>84</v>
      </c>
      <c r="B7" s="59">
        <f>9.39+9.28</f>
        <v>18.670000000000002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0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/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0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/>
    </row>
    <row r="22" spans="1:2" x14ac:dyDescent="0.2">
      <c r="A22" s="39" t="s">
        <v>50</v>
      </c>
      <c r="B22" s="59"/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18.670000000000002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6">
        <f>(B13+B16+B27)/B32</f>
        <v>0</v>
      </c>
    </row>
    <row r="31" spans="1:2" x14ac:dyDescent="0.2">
      <c r="A31" s="39" t="s">
        <v>63</v>
      </c>
      <c r="B31" s="66">
        <f>B28/B32</f>
        <v>7.5052259205660079E-4</v>
      </c>
    </row>
    <row r="32" spans="1:2" x14ac:dyDescent="0.2">
      <c r="A32" s="48" t="s">
        <v>64</v>
      </c>
      <c r="B32" s="63">
        <v>24876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4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92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317.64999999999998</v>
      </c>
    </row>
    <row r="7" spans="1:2" x14ac:dyDescent="0.2">
      <c r="A7" s="39" t="s">
        <v>84</v>
      </c>
      <c r="B7" s="59">
        <f>146.56+8.66+162.43</f>
        <v>317.64999999999998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5.7000000000000002E-2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v>5.7000000000000002E-2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274.3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147.62+123</f>
        <v>270.62</v>
      </c>
    </row>
    <row r="22" spans="1:2" x14ac:dyDescent="0.2">
      <c r="A22" s="39" t="s">
        <v>50</v>
      </c>
      <c r="B22" s="59">
        <v>3.68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592.00700000000006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1.477706457356344E-4</v>
      </c>
    </row>
    <row r="31" spans="1:2" x14ac:dyDescent="0.2">
      <c r="A31" s="39" t="s">
        <v>63</v>
      </c>
      <c r="B31" s="62">
        <f>B28/B32</f>
        <v>3.1892547090782252E-4</v>
      </c>
    </row>
    <row r="32" spans="1:2" x14ac:dyDescent="0.2">
      <c r="A32" s="48" t="s">
        <v>64</v>
      </c>
      <c r="B32" s="63">
        <v>1856255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tabSelected="1" workbookViewId="0">
      <selection activeCell="A40" sqref="A40:XFD40"/>
    </sheetView>
  </sheetViews>
  <sheetFormatPr defaultColWidth="0" defaultRowHeight="12.75" zeroHeight="1" x14ac:dyDescent="0.2"/>
  <cols>
    <col min="1" max="1" width="69.570312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91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33.83</v>
      </c>
    </row>
    <row r="7" spans="1:2" x14ac:dyDescent="0.2">
      <c r="A7" s="39" t="s">
        <v>84</v>
      </c>
      <c r="B7" s="59">
        <f>15.23+1.3+17.3</f>
        <v>33.83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0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/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61.519999999999996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32.87+28</f>
        <v>60.87</v>
      </c>
    </row>
    <row r="22" spans="1:2" x14ac:dyDescent="0.2">
      <c r="A22" s="39" t="s">
        <v>50</v>
      </c>
      <c r="B22" s="59">
        <v>0.65</v>
      </c>
    </row>
    <row r="23" spans="1:2" x14ac:dyDescent="0.2">
      <c r="A23" s="39" t="s">
        <v>4</v>
      </c>
      <c r="B23" s="59">
        <v>0</v>
      </c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95.35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4.0342570855246763E-4</v>
      </c>
    </row>
    <row r="31" spans="1:2" x14ac:dyDescent="0.2">
      <c r="A31" s="39" t="s">
        <v>63</v>
      </c>
      <c r="B31" s="62">
        <f>B28/B32</f>
        <v>6.2527050244599782E-4</v>
      </c>
    </row>
    <row r="32" spans="1:2" x14ac:dyDescent="0.2">
      <c r="A32" s="48" t="s">
        <v>64</v>
      </c>
      <c r="B32" s="63">
        <v>152494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855468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90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36.39</v>
      </c>
    </row>
    <row r="7" spans="1:2" x14ac:dyDescent="0.2">
      <c r="A7" s="39" t="s">
        <v>84</v>
      </c>
      <c r="B7" s="59">
        <f>15.22+21.17</f>
        <v>36.39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5.7000000000000002E-2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v>5.7000000000000002E-2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0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/>
    </row>
    <row r="22" spans="1:2" x14ac:dyDescent="0.2">
      <c r="A22" s="39" t="s">
        <v>50</v>
      </c>
      <c r="B22" s="59"/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36.447000000000003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6">
        <f>(B13+B16+B27)/B32</f>
        <v>0</v>
      </c>
    </row>
    <row r="31" spans="1:2" x14ac:dyDescent="0.2">
      <c r="A31" s="39" t="s">
        <v>63</v>
      </c>
      <c r="B31" s="66">
        <f>B28/B32</f>
        <v>9.7580500499321306E-5</v>
      </c>
    </row>
    <row r="32" spans="1:2" x14ac:dyDescent="0.2">
      <c r="A32" s="48" t="s">
        <v>64</v>
      </c>
      <c r="B32" s="63">
        <v>373507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8554687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'נספח 1 מצרפי '!A2</f>
        <v>ביום ה-31.12.18</v>
      </c>
    </row>
    <row r="3" spans="1:2" x14ac:dyDescent="0.2"/>
    <row r="4" spans="1:2" x14ac:dyDescent="0.2">
      <c r="A4" s="1" t="s">
        <v>104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12.35</v>
      </c>
    </row>
    <row r="7" spans="1:2" x14ac:dyDescent="0.2">
      <c r="A7" s="39" t="s">
        <v>84</v>
      </c>
      <c r="B7" s="59">
        <f>9.99+2.36</f>
        <v>12.35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8.5000000000000006E-2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v>8.5000000000000006E-2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2.66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/>
    </row>
    <row r="22" spans="1:2" x14ac:dyDescent="0.2">
      <c r="A22" s="39" t="s">
        <v>50</v>
      </c>
      <c r="B22" s="59">
        <f>2.1+0.56</f>
        <v>2.66</v>
      </c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15.095000000000001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6">
        <f>(B13+B16+B27)/B32</f>
        <v>6.3003315963998103E-4</v>
      </c>
    </row>
    <row r="31" spans="1:2" x14ac:dyDescent="0.2">
      <c r="A31" s="39" t="s">
        <v>63</v>
      </c>
      <c r="B31" s="66">
        <f>B28/B32</f>
        <v>3.5753197536712461E-3</v>
      </c>
    </row>
    <row r="32" spans="1:2" x14ac:dyDescent="0.2">
      <c r="A32" s="48" t="s">
        <v>64</v>
      </c>
      <c r="B32" s="63">
        <v>4222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D43"/>
  <sheetViews>
    <sheetView rightToLeft="1" workbookViewId="0">
      <selection activeCell="B4" sqref="B4"/>
    </sheetView>
  </sheetViews>
  <sheetFormatPr defaultColWidth="0" defaultRowHeight="12.75" zeroHeight="1" x14ac:dyDescent="0.2"/>
  <cols>
    <col min="1" max="1" width="9.140625" style="11" customWidth="1"/>
    <col min="2" max="2" width="46.42578125" style="11" bestFit="1" customWidth="1"/>
    <col min="3" max="3" width="15.42578125" style="11" customWidth="1"/>
    <col min="4" max="4" width="0" style="11" hidden="1" customWidth="1"/>
    <col min="5" max="16384" width="9.140625" style="11" hidden="1"/>
  </cols>
  <sheetData>
    <row r="1" spans="1:4" x14ac:dyDescent="0.2">
      <c r="A1" s="9" t="s">
        <v>37</v>
      </c>
      <c r="B1" s="9"/>
      <c r="C1" s="2" t="s">
        <v>105</v>
      </c>
    </row>
    <row r="2" spans="1:4" x14ac:dyDescent="0.2">
      <c r="B2" s="10"/>
    </row>
    <row r="3" spans="1:4" x14ac:dyDescent="0.2">
      <c r="A3" s="9" t="s">
        <v>5</v>
      </c>
      <c r="D3" s="12"/>
    </row>
    <row r="4" spans="1:4" x14ac:dyDescent="0.2">
      <c r="A4" s="78" t="s">
        <v>124</v>
      </c>
      <c r="B4" s="78" t="s">
        <v>125</v>
      </c>
      <c r="C4" s="77" t="s">
        <v>0</v>
      </c>
      <c r="D4" s="12"/>
    </row>
    <row r="5" spans="1:4" x14ac:dyDescent="0.2">
      <c r="A5" s="13" t="s">
        <v>6</v>
      </c>
      <c r="B5" s="14"/>
      <c r="C5" s="67">
        <v>0</v>
      </c>
      <c r="D5" s="12"/>
    </row>
    <row r="6" spans="1:4" x14ac:dyDescent="0.2">
      <c r="A6" s="13" t="s">
        <v>7</v>
      </c>
      <c r="B6" s="16"/>
      <c r="C6" s="68">
        <v>0</v>
      </c>
      <c r="D6" s="12"/>
    </row>
    <row r="7" spans="1:4" x14ac:dyDescent="0.2">
      <c r="A7" s="17" t="s">
        <v>8</v>
      </c>
      <c r="B7" s="16"/>
      <c r="C7" s="69">
        <v>0</v>
      </c>
      <c r="D7" s="12"/>
    </row>
    <row r="8" spans="1:4" x14ac:dyDescent="0.2">
      <c r="A8" s="13" t="s">
        <v>10</v>
      </c>
      <c r="B8" s="16"/>
      <c r="C8" s="70">
        <f>SUM(C9:C13)</f>
        <v>10155.41</v>
      </c>
      <c r="D8" s="12"/>
    </row>
    <row r="9" spans="1:4" x14ac:dyDescent="0.2">
      <c r="A9" s="17" t="s">
        <v>8</v>
      </c>
      <c r="B9" s="18" t="s">
        <v>81</v>
      </c>
      <c r="C9" s="71">
        <v>7241.43</v>
      </c>
      <c r="D9" s="12"/>
    </row>
    <row r="10" spans="1:4" x14ac:dyDescent="0.2">
      <c r="A10" s="17" t="s">
        <v>11</v>
      </c>
      <c r="B10" s="18" t="s">
        <v>103</v>
      </c>
      <c r="C10" s="71">
        <v>1096.98</v>
      </c>
      <c r="D10" s="12"/>
    </row>
    <row r="11" spans="1:4" x14ac:dyDescent="0.2">
      <c r="A11" s="17" t="s">
        <v>12</v>
      </c>
      <c r="B11" s="18" t="s">
        <v>108</v>
      </c>
      <c r="C11" s="71">
        <v>1817</v>
      </c>
      <c r="D11" s="12"/>
    </row>
    <row r="12" spans="1:4" x14ac:dyDescent="0.2">
      <c r="A12" s="17" t="s">
        <v>15</v>
      </c>
      <c r="B12" s="18" t="s">
        <v>102</v>
      </c>
      <c r="C12" s="71"/>
      <c r="D12" s="12"/>
    </row>
    <row r="13" spans="1:4" x14ac:dyDescent="0.2">
      <c r="A13" s="17" t="s">
        <v>87</v>
      </c>
      <c r="B13" s="18" t="s">
        <v>9</v>
      </c>
      <c r="C13" s="71"/>
      <c r="D13" s="12"/>
    </row>
    <row r="14" spans="1:4" x14ac:dyDescent="0.2">
      <c r="A14" s="13" t="s">
        <v>13</v>
      </c>
      <c r="B14" s="18"/>
      <c r="C14" s="72">
        <f>C8+C6</f>
        <v>10155.41</v>
      </c>
      <c r="D14" s="12"/>
    </row>
    <row r="15" spans="1:4" x14ac:dyDescent="0.2">
      <c r="A15" s="13" t="s">
        <v>14</v>
      </c>
      <c r="B15" s="15"/>
      <c r="C15" s="70"/>
      <c r="D15" s="12"/>
    </row>
    <row r="16" spans="1:4" x14ac:dyDescent="0.2">
      <c r="A16" s="13" t="s">
        <v>7</v>
      </c>
      <c r="B16" s="19"/>
      <c r="C16" s="70">
        <v>0</v>
      </c>
      <c r="D16" s="12"/>
    </row>
    <row r="17" spans="1:4" x14ac:dyDescent="0.2">
      <c r="A17" s="17" t="s">
        <v>8</v>
      </c>
      <c r="B17" s="16"/>
      <c r="C17" s="69">
        <v>0</v>
      </c>
      <c r="D17" s="12"/>
    </row>
    <row r="18" spans="1:4" x14ac:dyDescent="0.2">
      <c r="A18" s="13" t="s">
        <v>10</v>
      </c>
      <c r="B18" s="19"/>
      <c r="C18" s="70">
        <f>SUM(C19:C21)</f>
        <v>2251.4999999999995</v>
      </c>
      <c r="D18" s="12"/>
    </row>
    <row r="19" spans="1:4" x14ac:dyDescent="0.2">
      <c r="A19" s="17" t="s">
        <v>8</v>
      </c>
      <c r="B19" s="20" t="s">
        <v>81</v>
      </c>
      <c r="C19" s="71">
        <v>2233.66</v>
      </c>
      <c r="D19" s="12"/>
    </row>
    <row r="20" spans="1:4" x14ac:dyDescent="0.2">
      <c r="A20" s="17" t="s">
        <v>11</v>
      </c>
      <c r="B20" s="21" t="s">
        <v>121</v>
      </c>
      <c r="C20" s="71">
        <v>13.49</v>
      </c>
      <c r="D20" s="12"/>
    </row>
    <row r="21" spans="1:4" x14ac:dyDescent="0.2">
      <c r="A21" s="17" t="s">
        <v>12</v>
      </c>
      <c r="B21" s="21" t="s">
        <v>9</v>
      </c>
      <c r="C21" s="71">
        <v>4.3499999999999996</v>
      </c>
      <c r="D21" s="12"/>
    </row>
    <row r="22" spans="1:4" x14ac:dyDescent="0.2">
      <c r="A22" s="13" t="s">
        <v>16</v>
      </c>
      <c r="B22" s="15"/>
      <c r="C22" s="73">
        <f>C18+C16</f>
        <v>2251.4999999999995</v>
      </c>
      <c r="D22" s="12"/>
    </row>
    <row r="23" spans="1:4" x14ac:dyDescent="0.2">
      <c r="A23" s="13" t="s">
        <v>17</v>
      </c>
      <c r="B23" s="19"/>
      <c r="C23" s="70">
        <f>SUM(C24:C24)</f>
        <v>0</v>
      </c>
      <c r="D23" s="12"/>
    </row>
    <row r="24" spans="1:4" x14ac:dyDescent="0.2">
      <c r="A24" s="17" t="s">
        <v>8</v>
      </c>
      <c r="B24" s="50"/>
      <c r="C24" s="69"/>
      <c r="D24" s="12"/>
    </row>
    <row r="25" spans="1:4" x14ac:dyDescent="0.2">
      <c r="A25" s="13" t="s">
        <v>18</v>
      </c>
      <c r="B25" s="19"/>
      <c r="C25" s="74">
        <f>C23</f>
        <v>0</v>
      </c>
      <c r="D25" s="12"/>
    </row>
    <row r="26" spans="1:4" x14ac:dyDescent="0.2">
      <c r="A26" s="13" t="s">
        <v>19</v>
      </c>
      <c r="B26" s="19"/>
      <c r="C26" s="70">
        <f>SUM(C27)</f>
        <v>0</v>
      </c>
      <c r="D26" s="12"/>
    </row>
    <row r="27" spans="1:4" x14ac:dyDescent="0.2">
      <c r="A27" s="17" t="s">
        <v>8</v>
      </c>
      <c r="B27" s="18"/>
      <c r="C27" s="69"/>
      <c r="D27" s="12"/>
    </row>
    <row r="28" spans="1:4" x14ac:dyDescent="0.2">
      <c r="A28" s="13"/>
      <c r="B28" s="13"/>
      <c r="C28" s="74">
        <f>C27</f>
        <v>0</v>
      </c>
      <c r="D28" s="12"/>
    </row>
    <row r="29" spans="1:4" x14ac:dyDescent="0.2">
      <c r="A29" s="13" t="s">
        <v>65</v>
      </c>
      <c r="B29" s="13"/>
      <c r="C29" s="70"/>
      <c r="D29" s="12"/>
    </row>
    <row r="30" spans="1:4" x14ac:dyDescent="0.2">
      <c r="A30" s="45">
        <v>1</v>
      </c>
      <c r="B30" s="18" t="s">
        <v>9</v>
      </c>
      <c r="C30" s="69"/>
      <c r="D30" s="12"/>
    </row>
    <row r="31" spans="1:4" x14ac:dyDescent="0.2">
      <c r="A31" s="13" t="s">
        <v>66</v>
      </c>
      <c r="B31" s="13"/>
      <c r="C31" s="69"/>
      <c r="D31" s="12"/>
    </row>
    <row r="32" spans="1:4" x14ac:dyDescent="0.2">
      <c r="A32" s="13" t="s">
        <v>67</v>
      </c>
      <c r="B32" s="13"/>
      <c r="C32" s="22"/>
      <c r="D32" s="12"/>
    </row>
    <row r="33" spans="1:3" x14ac:dyDescent="0.2">
      <c r="A33" s="45">
        <v>1</v>
      </c>
      <c r="B33" s="18" t="s">
        <v>9</v>
      </c>
      <c r="C33" s="69"/>
    </row>
    <row r="34" spans="1:3" x14ac:dyDescent="0.2">
      <c r="A34" s="13" t="s">
        <v>68</v>
      </c>
      <c r="B34" s="18"/>
      <c r="C34" s="69"/>
    </row>
    <row r="35" spans="1:3" x14ac:dyDescent="0.2">
      <c r="A35" s="13" t="s">
        <v>20</v>
      </c>
      <c r="B35" s="18"/>
      <c r="C35" s="69">
        <f>C25+C22+C14+C26</f>
        <v>12406.91</v>
      </c>
    </row>
    <row r="36" spans="1:3" x14ac:dyDescent="0.2">
      <c r="A36" s="29" t="s">
        <v>69</v>
      </c>
      <c r="B36" s="75"/>
      <c r="C36" s="76">
        <f>'נספח 1 מצרפי '!B32</f>
        <v>9612535</v>
      </c>
    </row>
    <row r="37" spans="1:3" hidden="1" x14ac:dyDescent="0.2"/>
    <row r="38" spans="1:3" hidden="1" x14ac:dyDescent="0.2"/>
    <row r="39" spans="1:3" hidden="1" x14ac:dyDescent="0.2"/>
    <row r="40" spans="1:3" hidden="1" x14ac:dyDescent="0.2"/>
    <row r="41" spans="1:3" hidden="1" x14ac:dyDescent="0.2"/>
    <row r="42" spans="1:3" hidden="1" x14ac:dyDescent="0.2"/>
    <row r="43" spans="1:3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F56"/>
  <sheetViews>
    <sheetView rightToLeft="1" topLeftCell="A4" workbookViewId="0">
      <selection activeCell="A56" sqref="A56:XFD56"/>
    </sheetView>
  </sheetViews>
  <sheetFormatPr defaultColWidth="0" defaultRowHeight="12.75" zeroHeight="1" x14ac:dyDescent="0.2"/>
  <cols>
    <col min="1" max="1" width="9.140625" style="11" customWidth="1"/>
    <col min="2" max="2" width="42.5703125" style="11" customWidth="1"/>
    <col min="3" max="3" width="13.7109375" style="11" customWidth="1"/>
    <col min="4" max="4" width="0" style="12" hidden="1" customWidth="1"/>
    <col min="5" max="6" width="0" style="11" hidden="1" customWidth="1"/>
    <col min="7" max="16384" width="9.140625" style="11" hidden="1"/>
  </cols>
  <sheetData>
    <row r="1" spans="1:3" x14ac:dyDescent="0.2">
      <c r="A1" s="9" t="s">
        <v>38</v>
      </c>
      <c r="C1" s="2" t="s">
        <v>105</v>
      </c>
    </row>
    <row r="2" spans="1:3" x14ac:dyDescent="0.2"/>
    <row r="3" spans="1:3" x14ac:dyDescent="0.2">
      <c r="A3" s="9" t="s">
        <v>5</v>
      </c>
    </row>
    <row r="4" spans="1:3" x14ac:dyDescent="0.2">
      <c r="A4" s="89" t="s">
        <v>124</v>
      </c>
      <c r="B4" s="90" t="s">
        <v>125</v>
      </c>
      <c r="C4" s="77" t="s">
        <v>0</v>
      </c>
    </row>
    <row r="5" spans="1:3" x14ac:dyDescent="0.2">
      <c r="A5" s="22" t="s">
        <v>21</v>
      </c>
      <c r="B5" s="23"/>
      <c r="C5" s="79">
        <f>SUM(C6:C12)</f>
        <v>3581.54</v>
      </c>
    </row>
    <row r="6" spans="1:3" x14ac:dyDescent="0.2">
      <c r="A6" s="24" t="s">
        <v>8</v>
      </c>
      <c r="B6" s="25" t="s">
        <v>109</v>
      </c>
      <c r="C6" s="80">
        <v>861.6</v>
      </c>
    </row>
    <row r="7" spans="1:3" x14ac:dyDescent="0.2">
      <c r="A7" s="24" t="s">
        <v>11</v>
      </c>
      <c r="B7" s="25" t="s">
        <v>119</v>
      </c>
      <c r="C7" s="80">
        <v>843.6</v>
      </c>
    </row>
    <row r="8" spans="1:3" x14ac:dyDescent="0.2">
      <c r="A8" s="24" t="s">
        <v>12</v>
      </c>
      <c r="B8" s="25" t="s">
        <v>89</v>
      </c>
      <c r="C8" s="80">
        <v>694.04</v>
      </c>
    </row>
    <row r="9" spans="1:3" x14ac:dyDescent="0.2">
      <c r="A9" s="24" t="s">
        <v>15</v>
      </c>
      <c r="B9" s="25" t="s">
        <v>111</v>
      </c>
      <c r="C9" s="80">
        <v>385.22</v>
      </c>
    </row>
    <row r="10" spans="1:3" x14ac:dyDescent="0.2">
      <c r="A10" s="24" t="s">
        <v>87</v>
      </c>
      <c r="B10" s="25" t="s">
        <v>110</v>
      </c>
      <c r="C10" s="80">
        <v>265.85000000000002</v>
      </c>
    </row>
    <row r="11" spans="1:3" ht="13.5" customHeight="1" x14ac:dyDescent="0.2">
      <c r="A11" s="24" t="s">
        <v>116</v>
      </c>
      <c r="B11" s="25" t="s">
        <v>45</v>
      </c>
      <c r="C11" s="80">
        <v>216.39</v>
      </c>
    </row>
    <row r="12" spans="1:3" ht="13.5" customHeight="1" x14ac:dyDescent="0.2">
      <c r="A12" s="24" t="s">
        <v>117</v>
      </c>
      <c r="B12" s="25" t="s">
        <v>9</v>
      </c>
      <c r="C12" s="80">
        <v>314.83999999999997</v>
      </c>
    </row>
    <row r="13" spans="1:3" x14ac:dyDescent="0.2">
      <c r="A13" s="27" t="s">
        <v>3</v>
      </c>
      <c r="B13" s="28"/>
      <c r="C13" s="81">
        <f>C5</f>
        <v>3581.54</v>
      </c>
    </row>
    <row r="14" spans="1:3" x14ac:dyDescent="0.2">
      <c r="A14" s="27" t="s">
        <v>22</v>
      </c>
      <c r="B14" s="28"/>
      <c r="C14" s="82">
        <v>0</v>
      </c>
    </row>
    <row r="15" spans="1:3" x14ac:dyDescent="0.2">
      <c r="A15" s="31" t="s">
        <v>8</v>
      </c>
      <c r="B15" s="26" t="s">
        <v>9</v>
      </c>
      <c r="C15" s="83">
        <v>0</v>
      </c>
    </row>
    <row r="16" spans="1:3" x14ac:dyDescent="0.2">
      <c r="A16" s="22" t="s">
        <v>23</v>
      </c>
      <c r="B16" s="23"/>
      <c r="C16" s="84">
        <v>0</v>
      </c>
    </row>
    <row r="17" spans="1:6" x14ac:dyDescent="0.2">
      <c r="A17" s="32" t="s">
        <v>24</v>
      </c>
      <c r="B17" s="33"/>
      <c r="C17" s="82"/>
    </row>
    <row r="18" spans="1:6" x14ac:dyDescent="0.2">
      <c r="A18" s="34" t="s">
        <v>8</v>
      </c>
      <c r="B18" s="21"/>
      <c r="C18" s="73">
        <v>0</v>
      </c>
    </row>
    <row r="19" spans="1:6" x14ac:dyDescent="0.2">
      <c r="A19" s="24" t="s">
        <v>11</v>
      </c>
      <c r="B19" s="26"/>
      <c r="C19" s="80">
        <v>0</v>
      </c>
    </row>
    <row r="20" spans="1:6" x14ac:dyDescent="0.2">
      <c r="A20" s="27" t="s">
        <v>25</v>
      </c>
      <c r="B20" s="28"/>
      <c r="C20" s="82">
        <v>0</v>
      </c>
    </row>
    <row r="21" spans="1:6" x14ac:dyDescent="0.2">
      <c r="A21" s="27" t="s">
        <v>26</v>
      </c>
      <c r="B21" s="28"/>
      <c r="C21" s="82"/>
    </row>
    <row r="22" spans="1:6" x14ac:dyDescent="0.2">
      <c r="A22" s="35" t="s">
        <v>27</v>
      </c>
      <c r="B22" s="30" t="s">
        <v>28</v>
      </c>
      <c r="C22" s="82">
        <f>SUM(C23:C25)</f>
        <v>17.13</v>
      </c>
    </row>
    <row r="23" spans="1:6" x14ac:dyDescent="0.2">
      <c r="A23" s="24">
        <v>1</v>
      </c>
      <c r="B23" s="26" t="s">
        <v>122</v>
      </c>
      <c r="C23" s="80">
        <v>11.75</v>
      </c>
    </row>
    <row r="24" spans="1:6" x14ac:dyDescent="0.2">
      <c r="A24" s="24" t="s">
        <v>11</v>
      </c>
      <c r="B24" s="26" t="s">
        <v>101</v>
      </c>
      <c r="C24" s="80">
        <v>3.65</v>
      </c>
    </row>
    <row r="25" spans="1:6" x14ac:dyDescent="0.2">
      <c r="A25" s="24" t="s">
        <v>12</v>
      </c>
      <c r="B25" s="26" t="s">
        <v>9</v>
      </c>
      <c r="C25" s="80">
        <v>1.73</v>
      </c>
    </row>
    <row r="26" spans="1:6" x14ac:dyDescent="0.2">
      <c r="A26" s="35" t="s">
        <v>29</v>
      </c>
      <c r="B26" s="30" t="s">
        <v>80</v>
      </c>
      <c r="C26" s="82">
        <f>SUM(C27:C33)</f>
        <v>609.56000000000006</v>
      </c>
    </row>
    <row r="27" spans="1:6" x14ac:dyDescent="0.2">
      <c r="A27" s="47">
        <v>1</v>
      </c>
      <c r="B27" s="51" t="s">
        <v>106</v>
      </c>
      <c r="C27" s="80">
        <v>146.35</v>
      </c>
    </row>
    <row r="28" spans="1:6" x14ac:dyDescent="0.2">
      <c r="A28" s="34" t="s">
        <v>11</v>
      </c>
      <c r="B28" s="37" t="s">
        <v>107</v>
      </c>
      <c r="C28" s="80">
        <v>111.09</v>
      </c>
    </row>
    <row r="29" spans="1:6" x14ac:dyDescent="0.2">
      <c r="A29" s="34" t="s">
        <v>12</v>
      </c>
      <c r="B29" s="37" t="s">
        <v>120</v>
      </c>
      <c r="C29" s="80">
        <v>109.65</v>
      </c>
    </row>
    <row r="30" spans="1:6" x14ac:dyDescent="0.2">
      <c r="A30" s="34" t="s">
        <v>15</v>
      </c>
      <c r="B30" s="37" t="s">
        <v>86</v>
      </c>
      <c r="C30" s="80">
        <v>99.8</v>
      </c>
      <c r="F30" s="52"/>
    </row>
    <row r="31" spans="1:6" x14ac:dyDescent="0.2">
      <c r="A31" s="34" t="s">
        <v>87</v>
      </c>
      <c r="B31" s="36" t="s">
        <v>114</v>
      </c>
      <c r="C31" s="80">
        <v>81.53</v>
      </c>
    </row>
    <row r="32" spans="1:6" x14ac:dyDescent="0.2">
      <c r="A32" s="56" t="s">
        <v>116</v>
      </c>
      <c r="B32" s="57" t="s">
        <v>115</v>
      </c>
      <c r="C32" s="80">
        <v>55.48</v>
      </c>
    </row>
    <row r="33" spans="1:3" x14ac:dyDescent="0.2">
      <c r="A33" s="56" t="s">
        <v>117</v>
      </c>
      <c r="B33" s="57" t="s">
        <v>9</v>
      </c>
      <c r="C33" s="80">
        <v>5.66</v>
      </c>
    </row>
    <row r="34" spans="1:3" x14ac:dyDescent="0.2">
      <c r="A34" s="27" t="s">
        <v>70</v>
      </c>
      <c r="B34" s="27"/>
      <c r="C34" s="74">
        <f>C26+C22</f>
        <v>626.69000000000005</v>
      </c>
    </row>
    <row r="35" spans="1:3" x14ac:dyDescent="0.2">
      <c r="A35" s="3" t="s">
        <v>71</v>
      </c>
      <c r="B35" s="30"/>
      <c r="C35" s="82">
        <v>0</v>
      </c>
    </row>
    <row r="36" spans="1:3" x14ac:dyDescent="0.2">
      <c r="A36" s="48" t="s">
        <v>72</v>
      </c>
      <c r="B36" s="30"/>
      <c r="C36" s="82">
        <f>SUM(C37:C39)</f>
        <v>568.35</v>
      </c>
    </row>
    <row r="37" spans="1:3" x14ac:dyDescent="0.2">
      <c r="A37" s="49">
        <v>1</v>
      </c>
      <c r="B37" s="26" t="s">
        <v>82</v>
      </c>
      <c r="C37" s="80">
        <v>304.14</v>
      </c>
    </row>
    <row r="38" spans="1:3" x14ac:dyDescent="0.2">
      <c r="A38" s="49">
        <v>2</v>
      </c>
      <c r="B38" s="26" t="s">
        <v>100</v>
      </c>
      <c r="C38" s="80">
        <v>208.75</v>
      </c>
    </row>
    <row r="39" spans="1:3" x14ac:dyDescent="0.2">
      <c r="A39" s="49">
        <v>3</v>
      </c>
      <c r="B39" s="26" t="s">
        <v>9</v>
      </c>
      <c r="C39" s="80">
        <f>56.41-0.95</f>
        <v>55.459999999999994</v>
      </c>
    </row>
    <row r="40" spans="1:3" x14ac:dyDescent="0.2">
      <c r="A40" s="4" t="s">
        <v>73</v>
      </c>
      <c r="B40" s="46"/>
      <c r="C40" s="82">
        <f>SUM(C41:C45)</f>
        <v>2137.33</v>
      </c>
    </row>
    <row r="41" spans="1:3" x14ac:dyDescent="0.2">
      <c r="A41" s="49">
        <v>1</v>
      </c>
      <c r="B41" s="37" t="s">
        <v>118</v>
      </c>
      <c r="C41" s="85">
        <v>694.48</v>
      </c>
    </row>
    <row r="42" spans="1:3" x14ac:dyDescent="0.2">
      <c r="A42" s="49">
        <v>2</v>
      </c>
      <c r="B42" s="37" t="s">
        <v>99</v>
      </c>
      <c r="C42" s="85">
        <v>404.27</v>
      </c>
    </row>
    <row r="43" spans="1:3" x14ac:dyDescent="0.2">
      <c r="A43" s="49">
        <v>3</v>
      </c>
      <c r="B43" s="37" t="s">
        <v>83</v>
      </c>
      <c r="C43" s="80">
        <v>251.66</v>
      </c>
    </row>
    <row r="44" spans="1:3" x14ac:dyDescent="0.2">
      <c r="A44" s="49">
        <v>4</v>
      </c>
      <c r="B44" s="37" t="s">
        <v>123</v>
      </c>
      <c r="C44" s="80">
        <v>157.97999999999999</v>
      </c>
    </row>
    <row r="45" spans="1:3" x14ac:dyDescent="0.2">
      <c r="A45" s="49">
        <v>5</v>
      </c>
      <c r="B45" s="37" t="s">
        <v>9</v>
      </c>
      <c r="C45" s="80">
        <f>786.92-157.98</f>
        <v>628.93999999999994</v>
      </c>
    </row>
    <row r="46" spans="1:3" x14ac:dyDescent="0.2">
      <c r="A46" s="32" t="s">
        <v>74</v>
      </c>
      <c r="B46" s="33"/>
      <c r="C46" s="74">
        <f>C40+C36</f>
        <v>2705.68</v>
      </c>
    </row>
    <row r="47" spans="1:3" x14ac:dyDescent="0.2">
      <c r="A47" s="32" t="s">
        <v>30</v>
      </c>
      <c r="B47" s="33"/>
      <c r="C47" s="80">
        <f>C46+C34+C13-1</f>
        <v>6912.91</v>
      </c>
    </row>
    <row r="48" spans="1:3" x14ac:dyDescent="0.2">
      <c r="A48" s="86" t="s">
        <v>64</v>
      </c>
      <c r="B48" s="87"/>
      <c r="C48" s="88">
        <f>'נספח 1 מצרפי '!B32</f>
        <v>9612535</v>
      </c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theme="5" tint="0.59999389629810485"/>
  </sheetPr>
  <dimension ref="A1:C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1.5703125" bestFit="1" customWidth="1"/>
    <col min="2" max="2" width="12.28515625" style="5" bestFit="1" customWidth="1"/>
    <col min="3" max="3" width="0" hidden="1" customWidth="1"/>
    <col min="4" max="16384" width="9.140625" hidden="1"/>
  </cols>
  <sheetData>
    <row r="1" spans="1:3" x14ac:dyDescent="0.2">
      <c r="A1" s="1" t="s">
        <v>36</v>
      </c>
    </row>
    <row r="2" spans="1:3" x14ac:dyDescent="0.2">
      <c r="A2" s="2" t="str">
        <f>'קרן י'!A2</f>
        <v>ביום ה- 31.12.18</v>
      </c>
    </row>
    <row r="3" spans="1:3" x14ac:dyDescent="0.2"/>
    <row r="4" spans="1:3" x14ac:dyDescent="0.2">
      <c r="A4" s="1" t="s">
        <v>34</v>
      </c>
    </row>
    <row r="5" spans="1:3" x14ac:dyDescent="0.2">
      <c r="A5" s="64" t="s">
        <v>124</v>
      </c>
      <c r="B5" s="65" t="s">
        <v>0</v>
      </c>
    </row>
    <row r="6" spans="1:3" x14ac:dyDescent="0.2">
      <c r="A6" s="38" t="s">
        <v>52</v>
      </c>
      <c r="B6" s="58">
        <f>SUM(B7:B8)</f>
        <v>84.39</v>
      </c>
    </row>
    <row r="7" spans="1:3" x14ac:dyDescent="0.2">
      <c r="A7" s="39" t="s">
        <v>84</v>
      </c>
      <c r="B7" s="59">
        <f>40.9+43.49</f>
        <v>84.39</v>
      </c>
    </row>
    <row r="8" spans="1:3" ht="22.5" customHeight="1" x14ac:dyDescent="0.2">
      <c r="A8" s="39" t="s">
        <v>85</v>
      </c>
      <c r="B8" s="59">
        <v>0</v>
      </c>
    </row>
    <row r="9" spans="1:3" x14ac:dyDescent="0.2">
      <c r="A9" s="40" t="s">
        <v>53</v>
      </c>
      <c r="B9" s="60">
        <f>SUM(B10:B11)</f>
        <v>38.619999999999997</v>
      </c>
    </row>
    <row r="10" spans="1:3" x14ac:dyDescent="0.2">
      <c r="A10" s="41" t="s">
        <v>1</v>
      </c>
      <c r="B10" s="59"/>
      <c r="C10" s="7"/>
    </row>
    <row r="11" spans="1:3" x14ac:dyDescent="0.2">
      <c r="A11" s="41" t="s">
        <v>2</v>
      </c>
      <c r="B11" s="59">
        <f>4.63+18.99+15</f>
        <v>38.619999999999997</v>
      </c>
      <c r="C11" s="6"/>
    </row>
    <row r="12" spans="1:3" x14ac:dyDescent="0.2">
      <c r="A12" s="38" t="s">
        <v>54</v>
      </c>
      <c r="B12" s="61">
        <v>0</v>
      </c>
      <c r="C12" s="7"/>
    </row>
    <row r="13" spans="1:3" x14ac:dyDescent="0.2">
      <c r="A13" s="39" t="s">
        <v>79</v>
      </c>
      <c r="B13" s="59">
        <v>0</v>
      </c>
      <c r="C13" s="7"/>
    </row>
    <row r="14" spans="1:3" x14ac:dyDescent="0.2">
      <c r="A14" s="39" t="s">
        <v>57</v>
      </c>
      <c r="B14" s="59">
        <v>0</v>
      </c>
      <c r="C14" s="7"/>
    </row>
    <row r="15" spans="1:3" x14ac:dyDescent="0.2">
      <c r="A15" s="39" t="s">
        <v>58</v>
      </c>
      <c r="B15" s="59">
        <v>0</v>
      </c>
      <c r="C15" s="7"/>
    </row>
    <row r="16" spans="1:3" x14ac:dyDescent="0.2">
      <c r="A16" s="42" t="s">
        <v>55</v>
      </c>
      <c r="B16" s="60">
        <f>SUM(B17:B24)</f>
        <v>57.75</v>
      </c>
    </row>
    <row r="17" spans="1:2" x14ac:dyDescent="0.2">
      <c r="A17" s="39" t="s">
        <v>46</v>
      </c>
      <c r="B17" s="59">
        <f>8.21+11</f>
        <v>19.21</v>
      </c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1.42+2</f>
        <v>3.42</v>
      </c>
    </row>
    <row r="22" spans="1:2" x14ac:dyDescent="0.2">
      <c r="A22" s="39" t="s">
        <v>50</v>
      </c>
      <c r="B22" s="59">
        <f>13.79+16.35</f>
        <v>30.14</v>
      </c>
    </row>
    <row r="23" spans="1:2" x14ac:dyDescent="0.2">
      <c r="A23" s="39" t="s">
        <v>4</v>
      </c>
      <c r="B23" s="59">
        <f>0.14+0.11</f>
        <v>0.25</v>
      </c>
    </row>
    <row r="24" spans="1:2" x14ac:dyDescent="0.2">
      <c r="A24" s="39" t="s">
        <v>51</v>
      </c>
      <c r="B24" s="59">
        <f>2.73+2</f>
        <v>4.7300000000000004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180.76</v>
      </c>
    </row>
    <row r="29" spans="1:2" x14ac:dyDescent="0.2">
      <c r="A29" s="42" t="s">
        <v>62</v>
      </c>
      <c r="B29" s="59"/>
    </row>
    <row r="30" spans="1:2" ht="25.5" x14ac:dyDescent="0.2">
      <c r="A30" s="43" t="s">
        <v>75</v>
      </c>
      <c r="B30" s="62">
        <f>(B13+B16+B27)/B32</f>
        <v>8.3286462164150043E-4</v>
      </c>
    </row>
    <row r="31" spans="1:2" x14ac:dyDescent="0.2">
      <c r="A31" s="39" t="s">
        <v>63</v>
      </c>
      <c r="B31" s="62">
        <f>B28/B32</f>
        <v>2.6069023204834218E-3</v>
      </c>
    </row>
    <row r="32" spans="1:2" x14ac:dyDescent="0.2">
      <c r="A32" s="48" t="s">
        <v>64</v>
      </c>
      <c r="B32" s="63">
        <v>69339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theme="5" tint="0.59999389629810485"/>
  </sheetPr>
  <dimension ref="A1:D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1.5703125" bestFit="1" customWidth="1"/>
    <col min="2" max="2" width="12.28515625" style="5" bestFit="1" customWidth="1"/>
    <col min="3" max="3" width="9.140625" customWidth="1"/>
    <col min="4" max="4" width="0" hidden="1" customWidth="1"/>
    <col min="5" max="16384" width="9.140625" hidden="1"/>
  </cols>
  <sheetData>
    <row r="1" spans="1:3" x14ac:dyDescent="0.2">
      <c r="A1" s="1" t="s">
        <v>36</v>
      </c>
    </row>
    <row r="2" spans="1:3" x14ac:dyDescent="0.2">
      <c r="A2" s="2" t="str">
        <f>'קרן י'!A2</f>
        <v>ביום ה- 31.12.18</v>
      </c>
    </row>
    <row r="3" spans="1:3" x14ac:dyDescent="0.2"/>
    <row r="4" spans="1:3" x14ac:dyDescent="0.2">
      <c r="A4" s="1" t="s">
        <v>31</v>
      </c>
    </row>
    <row r="5" spans="1:3" x14ac:dyDescent="0.2">
      <c r="A5" s="64" t="s">
        <v>124</v>
      </c>
      <c r="B5" s="65" t="s">
        <v>0</v>
      </c>
    </row>
    <row r="6" spans="1:3" x14ac:dyDescent="0.2">
      <c r="A6" s="38" t="s">
        <v>52</v>
      </c>
      <c r="B6" s="58">
        <f>SUM(B7:B8)</f>
        <v>288.31</v>
      </c>
    </row>
    <row r="7" spans="1:3" x14ac:dyDescent="0.2">
      <c r="A7" s="39" t="s">
        <v>84</v>
      </c>
      <c r="B7" s="59">
        <f>112.11+176.2</f>
        <v>288.31</v>
      </c>
    </row>
    <row r="8" spans="1:3" x14ac:dyDescent="0.2">
      <c r="A8" s="39" t="s">
        <v>85</v>
      </c>
      <c r="B8" s="59">
        <v>0</v>
      </c>
    </row>
    <row r="9" spans="1:3" x14ac:dyDescent="0.2">
      <c r="A9" s="40" t="s">
        <v>53</v>
      </c>
      <c r="B9" s="61">
        <f>SUM(B10:B11)</f>
        <v>36.010000000000005</v>
      </c>
    </row>
    <row r="10" spans="1:3" x14ac:dyDescent="0.2">
      <c r="A10" s="41" t="s">
        <v>1</v>
      </c>
      <c r="B10" s="59">
        <v>0</v>
      </c>
    </row>
    <row r="11" spans="1:3" x14ac:dyDescent="0.2">
      <c r="A11" s="41" t="s">
        <v>2</v>
      </c>
      <c r="B11" s="59">
        <f>1.51+14.5+20</f>
        <v>36.010000000000005</v>
      </c>
      <c r="C11">
        <f>2.72-1.3+0.5</f>
        <v>1.9200000000000002</v>
      </c>
    </row>
    <row r="12" spans="1:3" x14ac:dyDescent="0.2">
      <c r="A12" s="38" t="s">
        <v>54</v>
      </c>
      <c r="B12" s="61">
        <v>0</v>
      </c>
    </row>
    <row r="13" spans="1:3" x14ac:dyDescent="0.2">
      <c r="A13" s="39" t="s">
        <v>79</v>
      </c>
      <c r="B13" s="59">
        <v>0</v>
      </c>
    </row>
    <row r="14" spans="1:3" x14ac:dyDescent="0.2">
      <c r="A14" s="39" t="s">
        <v>57</v>
      </c>
      <c r="B14" s="59">
        <v>0</v>
      </c>
    </row>
    <row r="15" spans="1:3" x14ac:dyDescent="0.2">
      <c r="A15" s="39" t="s">
        <v>58</v>
      </c>
      <c r="B15" s="59">
        <v>0</v>
      </c>
    </row>
    <row r="16" spans="1:3" x14ac:dyDescent="0.2">
      <c r="A16" s="42" t="s">
        <v>55</v>
      </c>
      <c r="B16" s="61">
        <f>SUM(B17:B24)</f>
        <v>10.59</v>
      </c>
    </row>
    <row r="17" spans="1:3" x14ac:dyDescent="0.2">
      <c r="A17" s="39" t="s">
        <v>46</v>
      </c>
      <c r="B17" s="59"/>
    </row>
    <row r="18" spans="1:3" x14ac:dyDescent="0.2">
      <c r="A18" s="39" t="s">
        <v>47</v>
      </c>
      <c r="B18" s="59"/>
    </row>
    <row r="19" spans="1:3" x14ac:dyDescent="0.2">
      <c r="A19" s="39" t="s">
        <v>48</v>
      </c>
      <c r="B19" s="59"/>
    </row>
    <row r="20" spans="1:3" x14ac:dyDescent="0.2">
      <c r="A20" s="39" t="s">
        <v>25</v>
      </c>
      <c r="B20" s="59"/>
    </row>
    <row r="21" spans="1:3" x14ac:dyDescent="0.2">
      <c r="A21" s="39" t="s">
        <v>49</v>
      </c>
      <c r="B21" s="59"/>
    </row>
    <row r="22" spans="1:3" x14ac:dyDescent="0.2">
      <c r="A22" s="39" t="s">
        <v>50</v>
      </c>
      <c r="B22" s="59">
        <f>4.09+6.5</f>
        <v>10.59</v>
      </c>
    </row>
    <row r="23" spans="1:3" x14ac:dyDescent="0.2">
      <c r="A23" s="39" t="s">
        <v>4</v>
      </c>
      <c r="B23" s="59"/>
    </row>
    <row r="24" spans="1:3" x14ac:dyDescent="0.2">
      <c r="A24" s="39" t="s">
        <v>51</v>
      </c>
      <c r="B24" s="59"/>
    </row>
    <row r="25" spans="1:3" x14ac:dyDescent="0.2">
      <c r="A25" s="42" t="s">
        <v>56</v>
      </c>
      <c r="B25" s="61">
        <v>0</v>
      </c>
    </row>
    <row r="26" spans="1:3" x14ac:dyDescent="0.2">
      <c r="A26" s="39" t="s">
        <v>59</v>
      </c>
      <c r="B26" s="59"/>
    </row>
    <row r="27" spans="1:3" x14ac:dyDescent="0.2">
      <c r="A27" s="39" t="s">
        <v>60</v>
      </c>
      <c r="B27" s="59"/>
    </row>
    <row r="28" spans="1:3" x14ac:dyDescent="0.2">
      <c r="A28" s="42" t="s">
        <v>61</v>
      </c>
      <c r="B28" s="59">
        <f>B6+B9+B12+B16+B25</f>
        <v>334.90999999999997</v>
      </c>
    </row>
    <row r="29" spans="1:3" x14ac:dyDescent="0.2">
      <c r="A29" s="42" t="s">
        <v>62</v>
      </c>
      <c r="B29" s="59"/>
    </row>
    <row r="30" spans="1:3" ht="25.5" x14ac:dyDescent="0.2">
      <c r="A30" s="43" t="s">
        <v>88</v>
      </c>
      <c r="B30" s="62">
        <f>(B13+B16+B27)/B32</f>
        <v>4.2820751283813833E-5</v>
      </c>
    </row>
    <row r="31" spans="1:3" x14ac:dyDescent="0.2">
      <c r="A31" s="39" t="s">
        <v>63</v>
      </c>
      <c r="B31" s="62">
        <f>B28/B32</f>
        <v>1.354211313735797E-3</v>
      </c>
    </row>
    <row r="32" spans="1:3" x14ac:dyDescent="0.2">
      <c r="A32" s="48" t="s">
        <v>64</v>
      </c>
      <c r="B32" s="63">
        <v>247310</v>
      </c>
      <c r="C32" s="8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theme="5" tint="0.59999389629810485"/>
  </sheetPr>
  <dimension ref="A1:K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1.5703125" bestFit="1" customWidth="1"/>
    <col min="2" max="2" width="11.28515625" style="5" bestFit="1" customWidth="1"/>
    <col min="3" max="3" width="9.140625" customWidth="1"/>
    <col min="4" max="11" width="0" hidden="1" customWidth="1"/>
    <col min="12" max="16384" width="9.140625" hidden="1"/>
  </cols>
  <sheetData>
    <row r="1" spans="1:3" x14ac:dyDescent="0.2">
      <c r="A1" s="1" t="s">
        <v>36</v>
      </c>
    </row>
    <row r="2" spans="1:3" x14ac:dyDescent="0.2">
      <c r="A2" s="2" t="str">
        <f>'קרן י'!A2</f>
        <v>ביום ה- 31.12.18</v>
      </c>
    </row>
    <row r="3" spans="1:3" x14ac:dyDescent="0.2">
      <c r="C3">
        <f>0.956-0.38+0.07</f>
        <v>0.64599999999999991</v>
      </c>
    </row>
    <row r="4" spans="1:3" x14ac:dyDescent="0.2">
      <c r="A4" s="1" t="s">
        <v>32</v>
      </c>
    </row>
    <row r="5" spans="1:3" x14ac:dyDescent="0.2">
      <c r="A5" s="64" t="s">
        <v>124</v>
      </c>
      <c r="B5" s="65" t="s">
        <v>0</v>
      </c>
    </row>
    <row r="6" spans="1:3" x14ac:dyDescent="0.2">
      <c r="A6" s="38" t="s">
        <v>52</v>
      </c>
      <c r="B6" s="58">
        <f>SUM(B7:B8)</f>
        <v>142.1</v>
      </c>
    </row>
    <row r="7" spans="1:3" x14ac:dyDescent="0.2">
      <c r="A7" s="39" t="s">
        <v>84</v>
      </c>
      <c r="B7" s="59">
        <f>75.38+66.72</f>
        <v>142.1</v>
      </c>
    </row>
    <row r="8" spans="1:3" x14ac:dyDescent="0.2">
      <c r="A8" s="39" t="s">
        <v>85</v>
      </c>
      <c r="B8" s="59">
        <v>0</v>
      </c>
    </row>
    <row r="9" spans="1:3" x14ac:dyDescent="0.2">
      <c r="A9" s="40" t="s">
        <v>53</v>
      </c>
      <c r="B9" s="61">
        <f>SUM(B10:B11)</f>
        <v>49.54</v>
      </c>
    </row>
    <row r="10" spans="1:3" x14ac:dyDescent="0.2">
      <c r="A10" s="41" t="s">
        <v>1</v>
      </c>
      <c r="B10" s="59">
        <v>0</v>
      </c>
    </row>
    <row r="11" spans="1:3" x14ac:dyDescent="0.2">
      <c r="A11" s="41" t="s">
        <v>2</v>
      </c>
      <c r="B11" s="59">
        <f>0.64+27.9+21</f>
        <v>49.54</v>
      </c>
    </row>
    <row r="12" spans="1:3" x14ac:dyDescent="0.2">
      <c r="A12" s="38" t="s">
        <v>54</v>
      </c>
      <c r="B12" s="61">
        <v>0</v>
      </c>
    </row>
    <row r="13" spans="1:3" x14ac:dyDescent="0.2">
      <c r="A13" s="39" t="s">
        <v>79</v>
      </c>
      <c r="B13" s="59">
        <v>0</v>
      </c>
    </row>
    <row r="14" spans="1:3" x14ac:dyDescent="0.2">
      <c r="A14" s="39" t="s">
        <v>57</v>
      </c>
      <c r="B14" s="59">
        <v>0</v>
      </c>
    </row>
    <row r="15" spans="1:3" x14ac:dyDescent="0.2">
      <c r="A15" s="39" t="s">
        <v>58</v>
      </c>
      <c r="B15" s="59">
        <v>0</v>
      </c>
    </row>
    <row r="16" spans="1:3" x14ac:dyDescent="0.2">
      <c r="A16" s="42" t="s">
        <v>55</v>
      </c>
      <c r="B16" s="61">
        <f>SUM(B17:B24)</f>
        <v>64.39200000000001</v>
      </c>
    </row>
    <row r="17" spans="1:2" x14ac:dyDescent="0.2">
      <c r="A17" s="39" t="s">
        <v>46</v>
      </c>
      <c r="B17" s="59">
        <f>3.78+7</f>
        <v>10.78</v>
      </c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1.61+5.2</f>
        <v>6.8100000000000005</v>
      </c>
    </row>
    <row r="22" spans="1:2" x14ac:dyDescent="0.2">
      <c r="A22" s="39" t="s">
        <v>50</v>
      </c>
      <c r="B22" s="59">
        <f>20.48+23.92</f>
        <v>44.400000000000006</v>
      </c>
    </row>
    <row r="23" spans="1:2" x14ac:dyDescent="0.2">
      <c r="A23" s="39" t="s">
        <v>4</v>
      </c>
      <c r="B23" s="59">
        <f>0.19+0.032</f>
        <v>0.222</v>
      </c>
    </row>
    <row r="24" spans="1:2" x14ac:dyDescent="0.2">
      <c r="A24" s="39" t="s">
        <v>51</v>
      </c>
      <c r="B24" s="59">
        <v>2.1800000000000002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256.03199999999998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1.4105585980284778E-3</v>
      </c>
    </row>
    <row r="31" spans="1:2" x14ac:dyDescent="0.2">
      <c r="A31" s="39" t="s">
        <v>63</v>
      </c>
      <c r="B31" s="62">
        <f>B28/B32</f>
        <v>5.6085870755750271E-3</v>
      </c>
    </row>
    <row r="32" spans="1:2" x14ac:dyDescent="0.2">
      <c r="A32" s="48" t="s">
        <v>64</v>
      </c>
      <c r="B32" s="63">
        <v>45650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0.42578125" customWidth="1"/>
    <col min="2" max="2" width="14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33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2465.8900000000003</v>
      </c>
    </row>
    <row r="7" spans="1:2" x14ac:dyDescent="0.2">
      <c r="A7" s="39" t="s">
        <v>84</v>
      </c>
      <c r="B7" s="59">
        <f>1084.38+1381.51</f>
        <v>2465.8900000000003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1036.55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57+530.55+449</f>
        <v>1036.55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/>
    </row>
    <row r="16" spans="1:2" x14ac:dyDescent="0.2">
      <c r="A16" s="42" t="s">
        <v>55</v>
      </c>
      <c r="B16" s="61">
        <f>SUM(B17:B24)</f>
        <v>2717.5400000000004</v>
      </c>
    </row>
    <row r="17" spans="1:2" x14ac:dyDescent="0.2">
      <c r="A17" s="39" t="s">
        <v>46</v>
      </c>
      <c r="B17" s="59">
        <f>697.81+811</f>
        <v>1508.81</v>
      </c>
    </row>
    <row r="18" spans="1:2" x14ac:dyDescent="0.2">
      <c r="A18" s="39" t="s">
        <v>47</v>
      </c>
      <c r="B18" s="59">
        <f>98.11+94</f>
        <v>192.11</v>
      </c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21.61-1.14+52.34</f>
        <v>72.81</v>
      </c>
    </row>
    <row r="22" spans="1:2" x14ac:dyDescent="0.2">
      <c r="A22" s="39" t="s">
        <v>50</v>
      </c>
      <c r="B22" s="59">
        <f>380.46+1.14+433.72</f>
        <v>815.31999999999994</v>
      </c>
    </row>
    <row r="23" spans="1:2" x14ac:dyDescent="0.2">
      <c r="A23" s="39" t="s">
        <v>4</v>
      </c>
      <c r="B23" s="59">
        <f>3.74+2.97</f>
        <v>6.7100000000000009</v>
      </c>
    </row>
    <row r="24" spans="1:2" x14ac:dyDescent="0.2">
      <c r="A24" s="39" t="s">
        <v>51</v>
      </c>
      <c r="B24" s="59">
        <f>70.78+51</f>
        <v>121.78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6219.9800000000014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1.4459922526817643E-3</v>
      </c>
    </row>
    <row r="31" spans="1:2" x14ac:dyDescent="0.2">
      <c r="A31" s="39" t="s">
        <v>63</v>
      </c>
      <c r="B31" s="62">
        <f>B28/B32</f>
        <v>3.3096266814234641E-3</v>
      </c>
    </row>
    <row r="32" spans="1:2" x14ac:dyDescent="0.2">
      <c r="A32" s="48" t="s">
        <v>64</v>
      </c>
      <c r="B32" s="63">
        <v>1879360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93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11.379999999999999</v>
      </c>
    </row>
    <row r="7" spans="1:2" x14ac:dyDescent="0.2">
      <c r="A7" s="39" t="s">
        <v>84</v>
      </c>
      <c r="B7" s="59">
        <f>7.2+4.18</f>
        <v>11.379999999999999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1.28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0.28+1</f>
        <v>1.28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0</v>
      </c>
    </row>
    <row r="17" spans="1:2" x14ac:dyDescent="0.2">
      <c r="A17" s="39" t="s">
        <v>46</v>
      </c>
      <c r="B17" s="59"/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/>
    </row>
    <row r="22" spans="1:2" x14ac:dyDescent="0.2">
      <c r="A22" s="39" t="s">
        <v>50</v>
      </c>
      <c r="B22" s="59"/>
    </row>
    <row r="23" spans="1:2" x14ac:dyDescent="0.2">
      <c r="A23" s="39" t="s">
        <v>4</v>
      </c>
      <c r="B23" s="59"/>
    </row>
    <row r="24" spans="1:2" x14ac:dyDescent="0.2">
      <c r="A24" s="39" t="s">
        <v>51</v>
      </c>
      <c r="B24" s="59"/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12.659999999999998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59">
        <f>(B13+B16+B27)/B32</f>
        <v>0</v>
      </c>
    </row>
    <row r="31" spans="1:2" x14ac:dyDescent="0.2">
      <c r="A31" s="39" t="s">
        <v>63</v>
      </c>
      <c r="B31" s="62">
        <f>B28/B32</f>
        <v>1.1796496459187476E-3</v>
      </c>
    </row>
    <row r="32" spans="1:2" x14ac:dyDescent="0.2">
      <c r="A32" s="48" t="s">
        <v>64</v>
      </c>
      <c r="B32" s="63">
        <v>10732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94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309.14</v>
      </c>
    </row>
    <row r="7" spans="1:2" x14ac:dyDescent="0.2">
      <c r="A7" s="39" t="s">
        <v>84</v>
      </c>
      <c r="B7" s="59">
        <f>147.2+161.94</f>
        <v>309.14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133.01999999999998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1.94+73.08+58</f>
        <v>133.01999999999998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191.20000000000002</v>
      </c>
    </row>
    <row r="17" spans="1:2" x14ac:dyDescent="0.2">
      <c r="A17" s="39" t="s">
        <v>46</v>
      </c>
      <c r="B17" s="59">
        <f>25.07+32</f>
        <v>57.07</v>
      </c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13.53-0.13+18.62</f>
        <v>32.019999999999996</v>
      </c>
    </row>
    <row r="22" spans="1:2" x14ac:dyDescent="0.2">
      <c r="A22" s="39" t="s">
        <v>50</v>
      </c>
      <c r="B22" s="59">
        <f>44.28+0.13+51.85</f>
        <v>96.26</v>
      </c>
    </row>
    <row r="23" spans="1:2" x14ac:dyDescent="0.2">
      <c r="A23" s="39" t="s">
        <v>4</v>
      </c>
      <c r="B23" s="59">
        <f>0.64+1.3</f>
        <v>1.94</v>
      </c>
    </row>
    <row r="24" spans="1:2" x14ac:dyDescent="0.2">
      <c r="A24" s="39" t="s">
        <v>51</v>
      </c>
      <c r="B24" s="59">
        <v>3.91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633.36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9.5770471439161713E-4</v>
      </c>
    </row>
    <row r="31" spans="1:2" x14ac:dyDescent="0.2">
      <c r="A31" s="39" t="s">
        <v>63</v>
      </c>
      <c r="B31" s="62">
        <f>B28/B32</f>
        <v>3.172446955580934E-3</v>
      </c>
    </row>
    <row r="32" spans="1:2" x14ac:dyDescent="0.2">
      <c r="A32" s="48" t="s">
        <v>64</v>
      </c>
      <c r="B32" s="63">
        <v>199644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ה- 31.12.18</v>
      </c>
    </row>
    <row r="3" spans="1:2" x14ac:dyDescent="0.2"/>
    <row r="4" spans="1:2" x14ac:dyDescent="0.2">
      <c r="A4" s="1" t="s">
        <v>95</v>
      </c>
    </row>
    <row r="5" spans="1:2" x14ac:dyDescent="0.2">
      <c r="A5" s="64" t="s">
        <v>124</v>
      </c>
      <c r="B5" s="65" t="s">
        <v>0</v>
      </c>
    </row>
    <row r="6" spans="1:2" x14ac:dyDescent="0.2">
      <c r="A6" s="38" t="s">
        <v>52</v>
      </c>
      <c r="B6" s="58">
        <f>SUM(B7:B8)</f>
        <v>92.65</v>
      </c>
    </row>
    <row r="7" spans="1:2" x14ac:dyDescent="0.2">
      <c r="A7" s="39" t="s">
        <v>84</v>
      </c>
      <c r="B7" s="59">
        <f>43.73+48.92</f>
        <v>92.65</v>
      </c>
    </row>
    <row r="8" spans="1:2" x14ac:dyDescent="0.2">
      <c r="A8" s="39" t="s">
        <v>85</v>
      </c>
      <c r="B8" s="59">
        <v>0</v>
      </c>
    </row>
    <row r="9" spans="1:2" x14ac:dyDescent="0.2">
      <c r="A9" s="40" t="s">
        <v>53</v>
      </c>
      <c r="B9" s="61">
        <f>SUM(B10:B11)</f>
        <v>27.59</v>
      </c>
    </row>
    <row r="10" spans="1:2" x14ac:dyDescent="0.2">
      <c r="A10" s="41" t="s">
        <v>1</v>
      </c>
      <c r="B10" s="59">
        <v>0</v>
      </c>
    </row>
    <row r="11" spans="1:2" x14ac:dyDescent="0.2">
      <c r="A11" s="41" t="s">
        <v>2</v>
      </c>
      <c r="B11" s="59">
        <f>1.15+10.44+16</f>
        <v>27.59</v>
      </c>
    </row>
    <row r="12" spans="1:2" x14ac:dyDescent="0.2">
      <c r="A12" s="38" t="s">
        <v>54</v>
      </c>
      <c r="B12" s="61">
        <f>SUM(B13:B15)</f>
        <v>0</v>
      </c>
    </row>
    <row r="13" spans="1:2" x14ac:dyDescent="0.2">
      <c r="A13" s="39" t="s">
        <v>79</v>
      </c>
      <c r="B13" s="59"/>
    </row>
    <row r="14" spans="1:2" x14ac:dyDescent="0.2">
      <c r="A14" s="39" t="s">
        <v>57</v>
      </c>
      <c r="B14" s="59">
        <v>0</v>
      </c>
    </row>
    <row r="15" spans="1:2" x14ac:dyDescent="0.2">
      <c r="A15" s="39" t="s">
        <v>58</v>
      </c>
      <c r="B15" s="59">
        <v>0</v>
      </c>
    </row>
    <row r="16" spans="1:2" x14ac:dyDescent="0.2">
      <c r="A16" s="42" t="s">
        <v>55</v>
      </c>
      <c r="B16" s="61">
        <f>SUM(B17:B24)</f>
        <v>55.96</v>
      </c>
    </row>
    <row r="17" spans="1:2" x14ac:dyDescent="0.2">
      <c r="A17" s="39" t="s">
        <v>46</v>
      </c>
      <c r="B17" s="59">
        <f>7.74+10</f>
        <v>17.740000000000002</v>
      </c>
    </row>
    <row r="18" spans="1:2" x14ac:dyDescent="0.2">
      <c r="A18" s="39" t="s">
        <v>47</v>
      </c>
      <c r="B18" s="59"/>
    </row>
    <row r="19" spans="1:2" x14ac:dyDescent="0.2">
      <c r="A19" s="39" t="s">
        <v>48</v>
      </c>
      <c r="B19" s="59"/>
    </row>
    <row r="20" spans="1:2" x14ac:dyDescent="0.2">
      <c r="A20" s="39" t="s">
        <v>25</v>
      </c>
      <c r="B20" s="59"/>
    </row>
    <row r="21" spans="1:2" x14ac:dyDescent="0.2">
      <c r="A21" s="39" t="s">
        <v>49</v>
      </c>
      <c r="B21" s="59">
        <f>3.96+5.14</f>
        <v>9.1</v>
      </c>
    </row>
    <row r="22" spans="1:2" x14ac:dyDescent="0.2">
      <c r="A22" s="39" t="s">
        <v>50</v>
      </c>
      <c r="B22" s="59">
        <f>12.97+14.61</f>
        <v>27.58</v>
      </c>
    </row>
    <row r="23" spans="1:2" x14ac:dyDescent="0.2">
      <c r="A23" s="39" t="s">
        <v>4</v>
      </c>
      <c r="B23" s="59">
        <f>0.17+0.32</f>
        <v>0.49</v>
      </c>
    </row>
    <row r="24" spans="1:2" x14ac:dyDescent="0.2">
      <c r="A24" s="39" t="s">
        <v>51</v>
      </c>
      <c r="B24" s="59">
        <v>1.05</v>
      </c>
    </row>
    <row r="25" spans="1:2" x14ac:dyDescent="0.2">
      <c r="A25" s="42" t="s">
        <v>56</v>
      </c>
      <c r="B25" s="61">
        <v>0</v>
      </c>
    </row>
    <row r="26" spans="1:2" x14ac:dyDescent="0.2">
      <c r="A26" s="39" t="s">
        <v>59</v>
      </c>
      <c r="B26" s="59"/>
    </row>
    <row r="27" spans="1:2" x14ac:dyDescent="0.2">
      <c r="A27" s="39" t="s">
        <v>60</v>
      </c>
      <c r="B27" s="59"/>
    </row>
    <row r="28" spans="1:2" x14ac:dyDescent="0.2">
      <c r="A28" s="42" t="s">
        <v>61</v>
      </c>
      <c r="B28" s="59">
        <f>B6+B9+B12+B16+B25</f>
        <v>176.20000000000002</v>
      </c>
    </row>
    <row r="29" spans="1:2" x14ac:dyDescent="0.2">
      <c r="A29" s="42" t="s">
        <v>62</v>
      </c>
      <c r="B29" s="59"/>
    </row>
    <row r="30" spans="1:2" ht="25.5" x14ac:dyDescent="0.2">
      <c r="A30" s="43" t="s">
        <v>88</v>
      </c>
      <c r="B30" s="62">
        <f>(B13+B16+B27)/B32</f>
        <v>9.2162255636621154E-4</v>
      </c>
    </row>
    <row r="31" spans="1:2" x14ac:dyDescent="0.2">
      <c r="A31" s="39" t="s">
        <v>63</v>
      </c>
      <c r="B31" s="62">
        <f>B28/B32</f>
        <v>2.9018923236548695E-3</v>
      </c>
    </row>
    <row r="32" spans="1:2" x14ac:dyDescent="0.2">
      <c r="A32" s="48" t="s">
        <v>64</v>
      </c>
      <c r="B32" s="63">
        <v>60719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519217-2566-4BD3-9FC1-A8AD9F2F2F3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56B31FB-1816-4C2B-ADF4-063FB268F5FD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1ca4df27-5183-4bee-9dbd-0c46c9c4aa40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B7B44CB-2513-4A6C-851B-E9EB0BAB09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70BAA6-C58F-411C-9A5F-ACBD10C53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27</vt:i4>
      </vt:variant>
      <vt:variant>
        <vt:lpstr>טווחים בעלי שם</vt:lpstr>
      </vt:variant>
      <vt:variant>
        <vt:i4>2</vt:i4>
      </vt:variant>
    </vt:vector>
  </HeadingPairs>
  <TitlesOfParts>
    <vt:vector size="29" baseType="lpstr">
      <vt:lpstr>נספח 1 מצרפי </vt:lpstr>
      <vt:lpstr>קרן י</vt:lpstr>
      <vt:lpstr>קרן ט</vt:lpstr>
      <vt:lpstr>מסלולית אגח</vt:lpstr>
      <vt:lpstr>מסלולית מניות</vt:lpstr>
      <vt:lpstr>מסלולית כללית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הכשרה הלכה</vt:lpstr>
      <vt:lpstr>אלטשולר כללי</vt:lpstr>
      <vt:lpstr>אלטשולר מניות</vt:lpstr>
      <vt:lpstr>אלטשולר אגח</vt:lpstr>
      <vt:lpstr>פסגות כללי</vt:lpstr>
      <vt:lpstr>פסגות מניות</vt:lpstr>
      <vt:lpstr>פסגות אגח</vt:lpstr>
      <vt:lpstr>מיטב דש כללי</vt:lpstr>
      <vt:lpstr>מיטב דש מניות</vt:lpstr>
      <vt:lpstr>מיטב דש אגח</vt:lpstr>
      <vt:lpstr>ילין לפידות כללי </vt:lpstr>
      <vt:lpstr>ילין לפידות מניות </vt:lpstr>
      <vt:lpstr>ילין לפידות אגח </vt:lpstr>
      <vt:lpstr>אקסלנס נשואה פסיבי כללי</vt:lpstr>
      <vt:lpstr>נספח 2 </vt:lpstr>
      <vt:lpstr>נספח 3</vt:lpstr>
      <vt:lpstr>'אלטשולר כללי'!WPrint_Area_W</vt:lpstr>
      <vt:lpstr>'נספח 1 מצרפי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 בעד ניהול השקעות שנתי מאוחד 31.12.18 -אלפי שח</dc:title>
  <dc:creator>ILDINSUR</dc:creator>
  <cp:lastModifiedBy>User</cp:lastModifiedBy>
  <cp:lastPrinted>2021-12-19T10:10:26Z</cp:lastPrinted>
  <dcterms:created xsi:type="dcterms:W3CDTF">2009-06-24T05:53:42Z</dcterms:created>
  <dcterms:modified xsi:type="dcterms:W3CDTF">2022-02-27T15:48:58Z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מוצג באתר">
    <vt:lpwstr>כן</vt:lpwstr>
  </property>
  <property fmtid="{D5CDD505-2E9C-101B-9397-08002B2CF9AE}" pid="3" name="accessible">
    <vt:lpwstr>לא</vt:lpwstr>
  </property>
  <property fmtid="{D5CDD505-2E9C-101B-9397-08002B2CF9AE}" pid="4" name="ContentTypeId">
    <vt:lpwstr>0x0101000EDB295D6E134840AE1B63C78AEF0BBA</vt:lpwstr>
  </property>
</Properties>
</file>